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2_ncr:500000_{E0A1CC13-E6D9-4F1A-BFC1-E440C14E0B66}" xr6:coauthVersionLast="31" xr6:coauthVersionMax="31" xr10:uidLastSave="{00000000-0000-0000-0000-000000000000}"/>
  <bookViews>
    <workbookView xWindow="0" yWindow="-15" windowWidth="3720" windowHeight="7965" tabRatio="859" activeTab="7" xr2:uid="{00000000-000D-0000-FFFF-FFFF00000000}"/>
  </bookViews>
  <sheets>
    <sheet name="Anyagköltség" sheetId="1" r:id="rId1"/>
    <sheet name="Munkadíj" sheetId="2" r:id="rId2"/>
    <sheet name="pénz" sheetId="38" r:id="rId3"/>
    <sheet name="teendők" sheetId="12" r:id="rId4"/>
    <sheet name="energetika" sheetId="10" r:id="rId5"/>
    <sheet name="napelem_kalk" sheetId="56" r:id="rId6"/>
    <sheet name="napelem ár" sheetId="57" r:id="rId7"/>
    <sheet name="áram 2017" sheetId="55" r:id="rId8"/>
    <sheet name="áramfogy diagram" sheetId="59" r:id="rId9"/>
    <sheet name="áramfogyasztás" sheetId="40" r:id="rId10"/>
    <sheet name="áramfogyasztás 2017" sheetId="54" r:id="rId11"/>
    <sheet name="költségek" sheetId="43" r:id="rId12"/>
    <sheet name="költségek építkezés" sheetId="17" r:id="rId13"/>
    <sheet name="tennivalók" sheetId="45" r:id="rId14"/>
    <sheet name="pellet" sheetId="39" r:id="rId15"/>
    <sheet name="kerítés 2." sheetId="52" r:id="rId16"/>
    <sheet name="kerítés behajtó" sheetId="46" r:id="rId17"/>
    <sheet name="beép szekrények" sheetId="51" r:id="rId18"/>
    <sheet name="előtető 70" sheetId="47" r:id="rId19"/>
    <sheet name="előtető 105" sheetId="50" r:id="rId20"/>
    <sheet name="kerítés oldalkert" sheetId="49" r:id="rId21"/>
    <sheet name="kerítés hátsó ker" sheetId="48" r:id="rId22"/>
    <sheet name="térkő" sheetId="44" r:id="rId23"/>
    <sheet name="kontaktok" sheetId="19" r:id="rId24"/>
    <sheet name="Vas, fa" sheetId="4" r:id="rId25"/>
    <sheet name="burkolat" sheetId="32" r:id="rId26"/>
    <sheet name="burkolás 1" sheetId="34" r:id="rId27"/>
    <sheet name="burkolás 2+parkettta" sheetId="35" r:id="rId28"/>
    <sheet name="Nyílászáró" sheetId="3" r:id="rId29"/>
    <sheet name="hőszig" sheetId="28" r:id="rId30"/>
    <sheet name="festés" sheetId="37" r:id="rId31"/>
    <sheet name="fűtés" sheetId="36" r:id="rId32"/>
    <sheet name="villany" sheetId="9" r:id="rId33"/>
    <sheet name="légtechnika" sheetId="29" r:id="rId34"/>
    <sheet name="légtechnika 150re" sheetId="33" r:id="rId35"/>
    <sheet name="álmennyezet" sheetId="27" r:id="rId36"/>
    <sheet name="kémény" sheetId="20" r:id="rId37"/>
    <sheet name="ötletek" sheetId="16" r:id="rId38"/>
    <sheet name="info" sheetId="13" r:id="rId39"/>
    <sheet name="vakolat" sheetId="31" r:id="rId40"/>
    <sheet name="költségvetés banknak" sheetId="30" r:id="rId41"/>
    <sheet name="bádog" sheetId="18" r:id="rId42"/>
    <sheet name="tibi szerz." sheetId="25" r:id="rId43"/>
    <sheet name="tibinek 2" sheetId="23" r:id="rId44"/>
    <sheet name="cserép" sheetId="26" r:id="rId45"/>
    <sheet name="tibinek" sheetId="15" r:id="rId46"/>
    <sheet name="zsalu" sheetId="24" r:id="rId47"/>
    <sheet name="födém" sheetId="14" r:id="rId48"/>
    <sheet name="hitel" sheetId="11" r:id="rId49"/>
    <sheet name="ingatanérték" sheetId="22" r:id="rId50"/>
  </sheets>
  <definedNames>
    <definedName name="_xlnm._FilterDatabase" localSheetId="0" hidden="1">Anyagköltség!$A$1:$G$390</definedName>
    <definedName name="_xlnm._FilterDatabase" localSheetId="11" hidden="1">költségek!$A$1:$I$1381</definedName>
    <definedName name="_xlnm._FilterDatabase" localSheetId="12" hidden="1">'költségek építkezés'!$A$1:$K$1517</definedName>
    <definedName name="_xlnm._FilterDatabase" localSheetId="13" hidden="1">tennivalók!$B$1:$D$25</definedName>
    <definedName name="_xlnm.Print_Area" localSheetId="25">burkolat!$B$1:$J$65</definedName>
    <definedName name="_xlnm.Print_Area" localSheetId="44">cserép!$A$29:$K$53</definedName>
    <definedName name="_xlnm.Print_Area" localSheetId="40">'költségvetés banknak'!$A$1:$E$97</definedName>
    <definedName name="_xlnm.Print_Area" localSheetId="24">'Vas, fa'!$B$34:$K$84</definedName>
  </definedNames>
  <calcPr calcId="162913"/>
</workbook>
</file>

<file path=xl/calcChain.xml><?xml version="1.0" encoding="utf-8"?>
<calcChain xmlns="http://schemas.openxmlformats.org/spreadsheetml/2006/main">
  <c r="C175" i="55" l="1"/>
  <c r="C174" i="55"/>
  <c r="C172" i="55"/>
  <c r="C173" i="55"/>
  <c r="K176" i="55"/>
  <c r="H176" i="55"/>
  <c r="I176" i="55" s="1"/>
  <c r="J176" i="55" s="1"/>
  <c r="K177" i="55"/>
  <c r="H177" i="55"/>
  <c r="I177" i="55" s="1"/>
  <c r="J177" i="55" s="1"/>
  <c r="K175" i="55" l="1"/>
  <c r="H175" i="55"/>
  <c r="I175" i="55" s="1"/>
  <c r="J175" i="55" s="1"/>
  <c r="K174" i="55" l="1"/>
  <c r="H174" i="55"/>
  <c r="I174" i="55" s="1"/>
  <c r="J174" i="55" s="1"/>
  <c r="K172" i="55" l="1"/>
  <c r="H172" i="55"/>
  <c r="I172" i="55" s="1"/>
  <c r="J172" i="55" s="1"/>
  <c r="K171" i="55"/>
  <c r="H171" i="55"/>
  <c r="I171" i="55" s="1"/>
  <c r="J171" i="55" s="1"/>
  <c r="K173" i="55"/>
  <c r="H173" i="55"/>
  <c r="I173" i="55" s="1"/>
  <c r="J173" i="55" s="1"/>
  <c r="K170" i="55" l="1"/>
  <c r="H170" i="55"/>
  <c r="I170" i="55" s="1"/>
  <c r="J170" i="55" s="1"/>
  <c r="K169" i="55" l="1"/>
  <c r="H169" i="55"/>
  <c r="I169" i="55" s="1"/>
  <c r="J169" i="55" s="1"/>
  <c r="K166" i="55" l="1"/>
  <c r="H166" i="55"/>
  <c r="I166" i="55" s="1"/>
  <c r="J166" i="55" s="1"/>
  <c r="K165" i="55"/>
  <c r="H165" i="55"/>
  <c r="I165" i="55" s="1"/>
  <c r="J165" i="55" s="1"/>
  <c r="K168" i="55"/>
  <c r="H168" i="55"/>
  <c r="I168" i="55" s="1"/>
  <c r="J168" i="55" s="1"/>
  <c r="K167" i="55"/>
  <c r="H167" i="55"/>
  <c r="I167" i="55" s="1"/>
  <c r="J167" i="55" s="1"/>
  <c r="K164" i="55" l="1"/>
  <c r="H164" i="55"/>
  <c r="I164" i="55" s="1"/>
  <c r="J164" i="55" s="1"/>
  <c r="K163" i="55"/>
  <c r="H163" i="55"/>
  <c r="I163" i="55" s="1"/>
  <c r="J163" i="55" s="1"/>
  <c r="K160" i="55" l="1"/>
  <c r="I160" i="55"/>
  <c r="J160" i="55" s="1"/>
  <c r="H160" i="55"/>
  <c r="K162" i="55"/>
  <c r="H162" i="55"/>
  <c r="I162" i="55" s="1"/>
  <c r="J162" i="55" s="1"/>
  <c r="K161" i="55"/>
  <c r="H161" i="55"/>
  <c r="I161" i="55" s="1"/>
  <c r="J161" i="55" s="1"/>
  <c r="K156" i="55" l="1"/>
  <c r="H156" i="55"/>
  <c r="I156" i="55" s="1"/>
  <c r="J156" i="55" s="1"/>
  <c r="K157" i="55"/>
  <c r="H157" i="55"/>
  <c r="I157" i="55" s="1"/>
  <c r="J157" i="55" s="1"/>
  <c r="K158" i="55"/>
  <c r="H158" i="55"/>
  <c r="I158" i="55" s="1"/>
  <c r="J158" i="55" s="1"/>
  <c r="K159" i="55"/>
  <c r="H159" i="55"/>
  <c r="I159" i="55" s="1"/>
  <c r="J159" i="55" s="1"/>
  <c r="K155" i="55" l="1"/>
  <c r="H155" i="55"/>
  <c r="I155" i="55" s="1"/>
  <c r="J155" i="55" s="1"/>
  <c r="K153" i="55"/>
  <c r="H153" i="55"/>
  <c r="I153" i="55" s="1"/>
  <c r="J153" i="55" s="1"/>
  <c r="K154" i="55"/>
  <c r="H154" i="55"/>
  <c r="I154" i="55" s="1"/>
  <c r="J154" i="55" s="1"/>
  <c r="K152" i="55" l="1"/>
  <c r="H152" i="55"/>
  <c r="I152" i="55" s="1"/>
  <c r="J152" i="55" s="1"/>
  <c r="K151" i="55" l="1"/>
  <c r="H151" i="55"/>
  <c r="I151" i="55" s="1"/>
  <c r="J151" i="55" s="1"/>
  <c r="K150" i="55" l="1"/>
  <c r="H150" i="55"/>
  <c r="I150" i="55" s="1"/>
  <c r="J150" i="55" s="1"/>
  <c r="K148" i="55" l="1"/>
  <c r="H148" i="55"/>
  <c r="I148" i="55" s="1"/>
  <c r="J148" i="55" s="1"/>
  <c r="K149" i="55"/>
  <c r="H149" i="55"/>
  <c r="I149" i="55" s="1"/>
  <c r="J149" i="55" s="1"/>
  <c r="K147" i="55" l="1"/>
  <c r="H147" i="55"/>
  <c r="I147" i="55" s="1"/>
  <c r="J147" i="55" s="1"/>
  <c r="C143" i="55" l="1"/>
  <c r="C142" i="55"/>
  <c r="C141" i="55"/>
  <c r="C144" i="55" s="1"/>
  <c r="K146" i="55"/>
  <c r="H146" i="55"/>
  <c r="I146" i="55" s="1"/>
  <c r="J146" i="55" s="1"/>
  <c r="K145" i="55" l="1"/>
  <c r="H145" i="55"/>
  <c r="I145" i="55" s="1"/>
  <c r="J145" i="55" s="1"/>
  <c r="K141" i="55" l="1"/>
  <c r="K142" i="55"/>
  <c r="K143" i="55"/>
  <c r="K144" i="55"/>
  <c r="J141" i="55"/>
  <c r="J142" i="55"/>
  <c r="J143" i="55"/>
  <c r="J144" i="55"/>
  <c r="I141" i="55"/>
  <c r="I142" i="55"/>
  <c r="I143" i="55"/>
  <c r="I144" i="55"/>
  <c r="H141" i="55"/>
  <c r="H142" i="55"/>
  <c r="H143" i="55"/>
  <c r="H144" i="55"/>
  <c r="D139" i="55"/>
  <c r="D140" i="55"/>
  <c r="D141" i="55"/>
  <c r="D142" i="55"/>
  <c r="D143" i="55"/>
  <c r="D144" i="55"/>
  <c r="D145" i="55"/>
  <c r="D146" i="55"/>
  <c r="D147" i="55"/>
  <c r="D148" i="55"/>
  <c r="K140" i="55" l="1"/>
  <c r="H140" i="55"/>
  <c r="I140" i="55" s="1"/>
  <c r="J140" i="55" s="1"/>
  <c r="K139" i="55"/>
  <c r="H139" i="55"/>
  <c r="I139" i="55" s="1"/>
  <c r="J139" i="55" s="1"/>
  <c r="K138" i="55" l="1"/>
  <c r="H138" i="55"/>
  <c r="I138" i="55" s="1"/>
  <c r="J138" i="55" s="1"/>
  <c r="K136" i="55" l="1"/>
  <c r="H136" i="55"/>
  <c r="I136" i="55" s="1"/>
  <c r="J136" i="55" s="1"/>
  <c r="K137" i="55"/>
  <c r="H137" i="55"/>
  <c r="I137" i="55" s="1"/>
  <c r="J137" i="55" s="1"/>
  <c r="K134" i="55" l="1"/>
  <c r="H134" i="55"/>
  <c r="I134" i="55" s="1"/>
  <c r="J134" i="55" s="1"/>
  <c r="K135" i="55"/>
  <c r="H135" i="55"/>
  <c r="I135" i="55" s="1"/>
  <c r="J135" i="55" s="1"/>
  <c r="K133" i="55"/>
  <c r="H133" i="55"/>
  <c r="I133" i="55" s="1"/>
  <c r="J133" i="55" s="1"/>
  <c r="K132" i="55" l="1"/>
  <c r="I132" i="55"/>
  <c r="J132" i="55" s="1"/>
  <c r="H132" i="55"/>
  <c r="H131" i="55" l="1"/>
  <c r="K131" i="55" l="1"/>
  <c r="I131" i="55"/>
  <c r="J131" i="55" s="1"/>
  <c r="K129" i="55"/>
  <c r="H129" i="55"/>
  <c r="I129" i="55" s="1"/>
  <c r="J129" i="55" s="1"/>
  <c r="K130" i="55"/>
  <c r="H130" i="55"/>
  <c r="I130" i="55" s="1"/>
  <c r="J130" i="55" s="1"/>
  <c r="K128" i="55" l="1"/>
  <c r="H128" i="55"/>
  <c r="I128" i="55" s="1"/>
  <c r="J128" i="55" s="1"/>
  <c r="K127" i="55"/>
  <c r="H127" i="55"/>
  <c r="I127" i="55" s="1"/>
  <c r="J127" i="55" s="1"/>
  <c r="I35" i="55"/>
  <c r="H33" i="55"/>
  <c r="I33" i="55" s="1"/>
  <c r="I32" i="55" s="1"/>
  <c r="H32" i="55"/>
  <c r="H31" i="55"/>
  <c r="H36" i="55"/>
  <c r="H35" i="55"/>
  <c r="H78" i="55"/>
  <c r="I78" i="55" s="1"/>
  <c r="J78" i="55" s="1"/>
  <c r="K77" i="55"/>
  <c r="H77" i="55"/>
  <c r="I77" i="55" s="1"/>
  <c r="J77" i="55" s="1"/>
  <c r="K76" i="55"/>
  <c r="H76" i="55"/>
  <c r="I76" i="55" s="1"/>
  <c r="J76" i="55" s="1"/>
  <c r="K75" i="55"/>
  <c r="I75" i="55"/>
  <c r="J75" i="55" s="1"/>
  <c r="H75" i="55"/>
  <c r="H82" i="55"/>
  <c r="K81" i="55"/>
  <c r="H81" i="55"/>
  <c r="I81" i="55" s="1"/>
  <c r="J81" i="55" s="1"/>
  <c r="H88" i="55"/>
  <c r="I88" i="55" s="1"/>
  <c r="J88" i="55" s="1"/>
  <c r="K87" i="55"/>
  <c r="H87" i="55"/>
  <c r="I87" i="55" s="1"/>
  <c r="J87" i="55" s="1"/>
  <c r="H46" i="55"/>
  <c r="K45" i="55"/>
  <c r="H45" i="55"/>
  <c r="I45" i="55" s="1"/>
  <c r="H92" i="55"/>
  <c r="I92" i="55" s="1"/>
  <c r="J92" i="55" s="1"/>
  <c r="K91" i="55"/>
  <c r="H91" i="55"/>
  <c r="I91" i="55" s="1"/>
  <c r="J91" i="55" s="1"/>
  <c r="H96" i="55"/>
  <c r="I96" i="55" s="1"/>
  <c r="J96" i="55" s="1"/>
  <c r="K95" i="55"/>
  <c r="H95" i="55"/>
  <c r="I95" i="55" s="1"/>
  <c r="J95" i="55" s="1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31" i="55"/>
  <c r="D32" i="55"/>
  <c r="D33" i="55"/>
  <c r="D34" i="55"/>
  <c r="D35" i="55"/>
  <c r="D36" i="55"/>
  <c r="D37" i="55"/>
  <c r="D38" i="55"/>
  <c r="D39" i="55"/>
  <c r="D40" i="55"/>
  <c r="D41" i="55"/>
  <c r="D42" i="55"/>
  <c r="D43" i="55"/>
  <c r="D44" i="55"/>
  <c r="D45" i="55"/>
  <c r="D46" i="55"/>
  <c r="D47" i="55"/>
  <c r="D48" i="55"/>
  <c r="D49" i="55"/>
  <c r="D50" i="55"/>
  <c r="D51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89" i="55"/>
  <c r="D90" i="55"/>
  <c r="D91" i="55"/>
  <c r="D92" i="55"/>
  <c r="D93" i="55"/>
  <c r="D94" i="55"/>
  <c r="D95" i="55"/>
  <c r="D96" i="55"/>
  <c r="D97" i="55"/>
  <c r="D98" i="55"/>
  <c r="D99" i="55"/>
  <c r="D100" i="55"/>
  <c r="D101" i="55"/>
  <c r="D102" i="55"/>
  <c r="D103" i="55"/>
  <c r="D104" i="55"/>
  <c r="D105" i="55"/>
  <c r="D106" i="55"/>
  <c r="D107" i="55"/>
  <c r="D108" i="55"/>
  <c r="D109" i="55"/>
  <c r="D110" i="55"/>
  <c r="D111" i="55"/>
  <c r="D112" i="55"/>
  <c r="D113" i="55"/>
  <c r="D114" i="55"/>
  <c r="D115" i="55"/>
  <c r="D116" i="55"/>
  <c r="D117" i="55"/>
  <c r="D118" i="55"/>
  <c r="D119" i="55"/>
  <c r="D120" i="55"/>
  <c r="D121" i="55"/>
  <c r="D122" i="55"/>
  <c r="D123" i="55"/>
  <c r="D124" i="55"/>
  <c r="D125" i="55"/>
  <c r="D126" i="55"/>
  <c r="D127" i="55"/>
  <c r="D128" i="55"/>
  <c r="D129" i="55"/>
  <c r="D130" i="55"/>
  <c r="D131" i="55"/>
  <c r="D132" i="55"/>
  <c r="D133" i="55"/>
  <c r="D134" i="55"/>
  <c r="D135" i="55"/>
  <c r="D136" i="55"/>
  <c r="D137" i="55"/>
  <c r="D138" i="55"/>
  <c r="D149" i="55"/>
  <c r="D150" i="55"/>
  <c r="D151" i="55"/>
  <c r="D152" i="55"/>
  <c r="D153" i="55"/>
  <c r="D154" i="55"/>
  <c r="D155" i="55"/>
  <c r="D156" i="55"/>
  <c r="D157" i="55"/>
  <c r="D158" i="55"/>
  <c r="D159" i="55"/>
  <c r="D160" i="55"/>
  <c r="D161" i="55"/>
  <c r="D162" i="55"/>
  <c r="D163" i="55"/>
  <c r="D164" i="55"/>
  <c r="D165" i="55"/>
  <c r="D166" i="55"/>
  <c r="D167" i="55"/>
  <c r="D168" i="55"/>
  <c r="D169" i="55"/>
  <c r="D170" i="55"/>
  <c r="D171" i="55"/>
  <c r="D172" i="55"/>
  <c r="D173" i="55"/>
  <c r="D174" i="55"/>
  <c r="D175" i="55"/>
  <c r="D176" i="55"/>
  <c r="D177" i="55"/>
  <c r="D178" i="55"/>
  <c r="D179" i="55"/>
  <c r="D180" i="55"/>
  <c r="D181" i="55"/>
  <c r="D182" i="55"/>
  <c r="D183" i="55"/>
  <c r="D184" i="55"/>
  <c r="D185" i="55"/>
  <c r="D186" i="55"/>
  <c r="D187" i="55"/>
  <c r="D188" i="55"/>
  <c r="D189" i="55"/>
  <c r="D190" i="55"/>
  <c r="D191" i="55"/>
  <c r="D192" i="55"/>
  <c r="D193" i="55"/>
  <c r="D194" i="55"/>
  <c r="D195" i="55"/>
  <c r="D196" i="55"/>
  <c r="D197" i="55"/>
  <c r="D198" i="55"/>
  <c r="D199" i="55"/>
  <c r="D200" i="55"/>
  <c r="D201" i="55"/>
  <c r="D202" i="55"/>
  <c r="D15" i="55"/>
  <c r="D14" i="55"/>
  <c r="K126" i="55"/>
  <c r="H126" i="55"/>
  <c r="I126" i="55" s="1"/>
  <c r="J126" i="55" s="1"/>
  <c r="F45" i="59"/>
  <c r="K125" i="55"/>
  <c r="H125" i="55"/>
  <c r="I125" i="55" s="1"/>
  <c r="J125" i="55" s="1"/>
  <c r="K123" i="55"/>
  <c r="H123" i="55"/>
  <c r="I123" i="55" s="1"/>
  <c r="J123" i="55" s="1"/>
  <c r="K124" i="55"/>
  <c r="H124" i="55"/>
  <c r="I124" i="55" s="1"/>
  <c r="J124" i="55" s="1"/>
  <c r="K122" i="55"/>
  <c r="H122" i="55"/>
  <c r="I122" i="55" s="1"/>
  <c r="J122" i="55" s="1"/>
  <c r="K120" i="55"/>
  <c r="H120" i="55"/>
  <c r="I120" i="55" s="1"/>
  <c r="J120" i="55" s="1"/>
  <c r="K121" i="55"/>
  <c r="H121" i="55"/>
  <c r="I121" i="55" s="1"/>
  <c r="J121" i="55" s="1"/>
  <c r="I42" i="59"/>
  <c r="C113" i="55"/>
  <c r="C116" i="55" s="1"/>
  <c r="K119" i="55"/>
  <c r="H119" i="55"/>
  <c r="K118" i="55"/>
  <c r="H118" i="55"/>
  <c r="I118" i="55" s="1"/>
  <c r="J118" i="55" s="1"/>
  <c r="G40" i="59"/>
  <c r="H40" i="59" s="1"/>
  <c r="F40" i="59"/>
  <c r="C51" i="55"/>
  <c r="S28" i="55" s="1"/>
  <c r="U28" i="55" s="1"/>
  <c r="C82" i="55"/>
  <c r="C85" i="55" s="1"/>
  <c r="K117" i="55"/>
  <c r="H117" i="55"/>
  <c r="I117" i="55" s="1"/>
  <c r="J117" i="55" s="1"/>
  <c r="H116" i="55"/>
  <c r="I116" i="55" s="1"/>
  <c r="J116" i="55" s="1"/>
  <c r="K115" i="55"/>
  <c r="H115" i="55"/>
  <c r="I115" i="55" s="1"/>
  <c r="J115" i="55" s="1"/>
  <c r="K114" i="55"/>
  <c r="H114" i="55"/>
  <c r="I114" i="55" s="1"/>
  <c r="J114" i="55" s="1"/>
  <c r="K113" i="55"/>
  <c r="I113" i="55"/>
  <c r="J113" i="55" s="1"/>
  <c r="H113" i="55"/>
  <c r="K116" i="55"/>
  <c r="K112" i="55"/>
  <c r="H112" i="55"/>
  <c r="I112" i="55" s="1"/>
  <c r="J112" i="55" s="1"/>
  <c r="K111" i="55"/>
  <c r="H111" i="55"/>
  <c r="I111" i="55" s="1"/>
  <c r="J111" i="55" s="1"/>
  <c r="K110" i="55"/>
  <c r="H110" i="55"/>
  <c r="I110" i="55" s="1"/>
  <c r="J110" i="55" s="1"/>
  <c r="K109" i="55"/>
  <c r="H109" i="55"/>
  <c r="I109" i="55" s="1"/>
  <c r="J109" i="55" s="1"/>
  <c r="K108" i="55"/>
  <c r="H108" i="55"/>
  <c r="I108" i="55" s="1"/>
  <c r="J108" i="55" s="1"/>
  <c r="K107" i="55"/>
  <c r="H107" i="55"/>
  <c r="I107" i="55" s="1"/>
  <c r="J107" i="55" s="1"/>
  <c r="K106" i="55"/>
  <c r="H106" i="55"/>
  <c r="I106" i="55" s="1"/>
  <c r="J106" i="55" s="1"/>
  <c r="K105" i="55"/>
  <c r="H105" i="55"/>
  <c r="K104" i="55"/>
  <c r="H104" i="55"/>
  <c r="I104" i="55" s="1"/>
  <c r="J104" i="55" s="1"/>
  <c r="K103" i="55"/>
  <c r="H103" i="55"/>
  <c r="I103" i="55" s="1"/>
  <c r="J103" i="55" s="1"/>
  <c r="K102" i="55"/>
  <c r="H102" i="55"/>
  <c r="I102" i="55" s="1"/>
  <c r="J102" i="55" s="1"/>
  <c r="K101" i="55"/>
  <c r="H101" i="55"/>
  <c r="I101" i="55" s="1"/>
  <c r="J101" i="55" s="1"/>
  <c r="G90" i="56"/>
  <c r="G91" i="56" s="1"/>
  <c r="I91" i="56" s="1"/>
  <c r="F88" i="56"/>
  <c r="E88" i="56"/>
  <c r="C88" i="56"/>
  <c r="K100" i="55"/>
  <c r="H100" i="55"/>
  <c r="I100" i="55" s="1"/>
  <c r="J100" i="55" s="1"/>
  <c r="K99" i="55"/>
  <c r="H99" i="55"/>
  <c r="I99" i="55" s="1"/>
  <c r="J99" i="55" s="1"/>
  <c r="K98" i="55"/>
  <c r="H98" i="55"/>
  <c r="I98" i="55" s="1"/>
  <c r="J98" i="55" s="1"/>
  <c r="K97" i="55"/>
  <c r="H97" i="55"/>
  <c r="I97" i="55" s="1"/>
  <c r="J97" i="55" s="1"/>
  <c r="K96" i="55"/>
  <c r="K94" i="55"/>
  <c r="H94" i="55"/>
  <c r="I94" i="55" s="1"/>
  <c r="J94" i="55" s="1"/>
  <c r="H17" i="56"/>
  <c r="I17" i="56" s="1"/>
  <c r="H16" i="56"/>
  <c r="I16" i="56" s="1"/>
  <c r="K93" i="55"/>
  <c r="H93" i="55"/>
  <c r="I93" i="55" s="1"/>
  <c r="J93" i="55" s="1"/>
  <c r="K92" i="55"/>
  <c r="K90" i="55"/>
  <c r="H90" i="55"/>
  <c r="I90" i="55" s="1"/>
  <c r="J90" i="55" s="1"/>
  <c r="K89" i="55"/>
  <c r="H89" i="55"/>
  <c r="I89" i="55" s="1"/>
  <c r="J89" i="55" s="1"/>
  <c r="K88" i="55"/>
  <c r="H86" i="55"/>
  <c r="I86" i="55" s="1"/>
  <c r="J86" i="55" s="1"/>
  <c r="K86" i="55"/>
  <c r="K85" i="55"/>
  <c r="H85" i="55"/>
  <c r="I85" i="55" s="1"/>
  <c r="J85" i="55" s="1"/>
  <c r="H84" i="55"/>
  <c r="K84" i="55"/>
  <c r="I84" i="55"/>
  <c r="J84" i="55" s="1"/>
  <c r="K83" i="55"/>
  <c r="I83" i="55"/>
  <c r="J83" i="55" s="1"/>
  <c r="H83" i="55"/>
  <c r="I82" i="55"/>
  <c r="J82" i="55" s="1"/>
  <c r="K82" i="55"/>
  <c r="K80" i="55"/>
  <c r="H80" i="55"/>
  <c r="I80" i="55" s="1"/>
  <c r="J80" i="55" s="1"/>
  <c r="K79" i="55"/>
  <c r="H79" i="55"/>
  <c r="I79" i="55" s="1"/>
  <c r="J79" i="55" s="1"/>
  <c r="K78" i="55"/>
  <c r="K74" i="55"/>
  <c r="H74" i="55"/>
  <c r="I74" i="55" s="1"/>
  <c r="J74" i="55" s="1"/>
  <c r="K73" i="55"/>
  <c r="H73" i="55"/>
  <c r="I73" i="55" s="1"/>
  <c r="J73" i="55" s="1"/>
  <c r="K72" i="55"/>
  <c r="H72" i="55"/>
  <c r="I72" i="55" s="1"/>
  <c r="J72" i="55" s="1"/>
  <c r="K71" i="55"/>
  <c r="H71" i="55"/>
  <c r="I71" i="55" s="1"/>
  <c r="J71" i="55" s="1"/>
  <c r="K70" i="55"/>
  <c r="H70" i="55"/>
  <c r="I70" i="55" s="1"/>
  <c r="J70" i="55" s="1"/>
  <c r="M12" i="57"/>
  <c r="N12" i="57" s="1"/>
  <c r="N11" i="57"/>
  <c r="M11" i="57"/>
  <c r="N10" i="57"/>
  <c r="M10" i="57"/>
  <c r="N9" i="57"/>
  <c r="M9" i="57"/>
  <c r="D52" i="57"/>
  <c r="K69" i="55"/>
  <c r="H69" i="55"/>
  <c r="I69" i="55" s="1"/>
  <c r="J69" i="55" s="1"/>
  <c r="K68" i="55"/>
  <c r="H68" i="55"/>
  <c r="I68" i="55" s="1"/>
  <c r="J68" i="55" s="1"/>
  <c r="K67" i="55"/>
  <c r="H67" i="55"/>
  <c r="I67" i="55" s="1"/>
  <c r="J67" i="55" s="1"/>
  <c r="K66" i="55"/>
  <c r="H66" i="55"/>
  <c r="I66" i="55" s="1"/>
  <c r="J66" i="55" s="1"/>
  <c r="H65" i="55"/>
  <c r="I65" i="55" s="1"/>
  <c r="J65" i="55" s="1"/>
  <c r="K64" i="55"/>
  <c r="H64" i="55"/>
  <c r="I64" i="55" s="1"/>
  <c r="J64" i="55" s="1"/>
  <c r="K63" i="55"/>
  <c r="H63" i="55"/>
  <c r="I63" i="55" s="1"/>
  <c r="J63" i="55" s="1"/>
  <c r="J59" i="55"/>
  <c r="J60" i="55"/>
  <c r="J61" i="55"/>
  <c r="J62" i="55"/>
  <c r="H62" i="55"/>
  <c r="I62" i="55" s="1"/>
  <c r="H61" i="55"/>
  <c r="I61" i="55" s="1"/>
  <c r="H60" i="55"/>
  <c r="I60" i="55" s="1"/>
  <c r="K60" i="55"/>
  <c r="K44" i="55"/>
  <c r="K46" i="55"/>
  <c r="K49" i="55"/>
  <c r="K50" i="55"/>
  <c r="K51" i="55"/>
  <c r="K52" i="55"/>
  <c r="K53" i="55"/>
  <c r="K54" i="55"/>
  <c r="K55" i="55"/>
  <c r="K56" i="55"/>
  <c r="K57" i="55"/>
  <c r="K58" i="55"/>
  <c r="K59" i="55"/>
  <c r="H59" i="55"/>
  <c r="I59" i="55" s="1"/>
  <c r="I58" i="55"/>
  <c r="J58" i="55" s="1"/>
  <c r="H58" i="55"/>
  <c r="I31" i="55" l="1"/>
  <c r="C54" i="55"/>
  <c r="C114" i="55"/>
  <c r="I119" i="55"/>
  <c r="J119" i="55" s="1"/>
  <c r="C115" i="55"/>
  <c r="C83" i="55"/>
  <c r="I105" i="55"/>
  <c r="J105" i="55" s="1"/>
  <c r="G88" i="56"/>
  <c r="G89" i="56"/>
  <c r="C84" i="55"/>
  <c r="I18" i="56"/>
  <c r="I19" i="56" s="1"/>
  <c r="I20" i="56" s="1"/>
  <c r="H57" i="55"/>
  <c r="I57" i="55" s="1"/>
  <c r="J57" i="55" s="1"/>
  <c r="H56" i="55" l="1"/>
  <c r="I56" i="55" s="1"/>
  <c r="J56" i="55" s="1"/>
  <c r="H55" i="55" l="1"/>
  <c r="I55" i="55" s="1"/>
  <c r="J55" i="55" s="1"/>
  <c r="J72" i="56"/>
  <c r="H54" i="55" l="1"/>
  <c r="I54" i="55" s="1"/>
  <c r="J54" i="55" s="1"/>
  <c r="H53" i="55" l="1"/>
  <c r="I53" i="55" s="1"/>
  <c r="R32" i="55"/>
  <c r="H52" i="55"/>
  <c r="I52" i="55" s="1"/>
  <c r="C21" i="55"/>
  <c r="C24" i="55" s="1"/>
  <c r="H51" i="55"/>
  <c r="E69" i="56"/>
  <c r="D18" i="57"/>
  <c r="H50" i="55"/>
  <c r="I50" i="55" s="1"/>
  <c r="S27" i="55" l="1"/>
  <c r="T27" i="55" s="1"/>
  <c r="I51" i="55"/>
  <c r="C52" i="55"/>
  <c r="C53" i="55"/>
  <c r="H49" i="55"/>
  <c r="I49" i="55" s="1"/>
  <c r="H48" i="55"/>
  <c r="I48" i="55" s="1"/>
  <c r="D46" i="57"/>
  <c r="D45" i="57"/>
  <c r="D44" i="57"/>
  <c r="D43" i="57"/>
  <c r="D42" i="57"/>
  <c r="D41" i="57"/>
  <c r="D40" i="57"/>
  <c r="D39" i="57"/>
  <c r="D38" i="57"/>
  <c r="D37" i="57"/>
  <c r="D36" i="57"/>
  <c r="H16" i="55"/>
  <c r="I16" i="55" s="1"/>
  <c r="H19" i="55"/>
  <c r="I19" i="55" s="1"/>
  <c r="H47" i="55"/>
  <c r="I47" i="55" s="1"/>
  <c r="D23" i="57"/>
  <c r="D24" i="57"/>
  <c r="D25" i="57"/>
  <c r="D26" i="57"/>
  <c r="D27" i="57"/>
  <c r="D28" i="57"/>
  <c r="D29" i="57"/>
  <c r="D30" i="57"/>
  <c r="D31" i="57"/>
  <c r="D32" i="57"/>
  <c r="D22" i="57"/>
  <c r="H44" i="55"/>
  <c r="I44" i="55" s="1"/>
  <c r="E71" i="56"/>
  <c r="G3" i="57"/>
  <c r="G13" i="57"/>
  <c r="D17" i="57"/>
  <c r="D16" i="57"/>
  <c r="D15" i="57"/>
  <c r="D14" i="57"/>
  <c r="D13" i="57"/>
  <c r="D12" i="57"/>
  <c r="D8" i="57"/>
  <c r="D7" i="57"/>
  <c r="D6" i="57"/>
  <c r="D5" i="57"/>
  <c r="D4" i="57"/>
  <c r="D3" i="57"/>
  <c r="D2" i="57"/>
  <c r="D1" i="57"/>
  <c r="S29" i="55" l="1"/>
  <c r="S30" i="55"/>
  <c r="S31" i="55"/>
  <c r="I46" i="55"/>
  <c r="D19" i="57"/>
  <c r="D47" i="57"/>
  <c r="D33" i="57"/>
  <c r="D53" i="57" s="1"/>
  <c r="D9" i="57"/>
  <c r="H43" i="55"/>
  <c r="I43" i="55" s="1"/>
  <c r="H34" i="55"/>
  <c r="I34" i="55" s="1"/>
  <c r="H42" i="55"/>
  <c r="I42" i="55" s="1"/>
  <c r="H41" i="55"/>
  <c r="I41" i="55" s="1"/>
  <c r="H40" i="55"/>
  <c r="I40" i="55" s="1"/>
  <c r="H39" i="55"/>
  <c r="I39" i="55" s="1"/>
  <c r="H38" i="55"/>
  <c r="I38" i="55" s="1"/>
  <c r="H37" i="55"/>
  <c r="I37" i="55" s="1"/>
  <c r="C3" i="55"/>
  <c r="D8" i="10"/>
  <c r="E70" i="56"/>
  <c r="D13" i="10"/>
  <c r="L11" i="10"/>
  <c r="B34" i="56"/>
  <c r="A52" i="56"/>
  <c r="A53" i="56"/>
  <c r="A54" i="56"/>
  <c r="A55" i="56"/>
  <c r="A56" i="56"/>
  <c r="A57" i="56"/>
  <c r="A58" i="56"/>
  <c r="A59" i="56"/>
  <c r="A60" i="56"/>
  <c r="A51" i="56"/>
  <c r="B8" i="56"/>
  <c r="H30" i="55"/>
  <c r="I30" i="55" s="1"/>
  <c r="H29" i="55"/>
  <c r="I29" i="55" s="1"/>
  <c r="H28" i="55"/>
  <c r="I28" i="55" s="1"/>
  <c r="H27" i="55"/>
  <c r="I27" i="55" s="1"/>
  <c r="S32" i="55" l="1"/>
  <c r="A50" i="56"/>
  <c r="H26" i="55"/>
  <c r="I26" i="55" s="1"/>
  <c r="H21" i="55" l="1"/>
  <c r="I21" i="55" s="1"/>
  <c r="H22" i="55"/>
  <c r="I22" i="55" s="1"/>
  <c r="H23" i="55"/>
  <c r="I23" i="55" s="1"/>
  <c r="H24" i="55"/>
  <c r="I24" i="55" s="1"/>
  <c r="H25" i="55"/>
  <c r="I25" i="55" s="1"/>
  <c r="H20" i="55"/>
  <c r="I20" i="55" s="1"/>
  <c r="D65" i="56"/>
  <c r="E46" i="56"/>
  <c r="E45" i="56"/>
  <c r="E44" i="56"/>
  <c r="H41" i="56"/>
  <c r="I41" i="56" s="1"/>
  <c r="E43" i="56"/>
  <c r="H40" i="56"/>
  <c r="I40" i="56" s="1"/>
  <c r="E42" i="56"/>
  <c r="E41" i="56"/>
  <c r="E40" i="56"/>
  <c r="E39" i="56"/>
  <c r="E38" i="56"/>
  <c r="E37" i="56"/>
  <c r="E36" i="56"/>
  <c r="I33" i="56"/>
  <c r="H33" i="56"/>
  <c r="E35" i="56"/>
  <c r="H32" i="56"/>
  <c r="I32" i="56" s="1"/>
  <c r="E34" i="56"/>
  <c r="E33" i="56"/>
  <c r="E32" i="56"/>
  <c r="E3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E7" i="56"/>
  <c r="E6" i="56"/>
  <c r="E5" i="56"/>
  <c r="J3" i="56"/>
  <c r="E3" i="56"/>
  <c r="D72" i="56" s="1"/>
  <c r="I42" i="56" l="1"/>
  <c r="I43" i="56" s="1"/>
  <c r="I44" i="56" s="1"/>
  <c r="E24" i="56"/>
  <c r="E25" i="56" s="1"/>
  <c r="C72" i="56"/>
  <c r="E72" i="56" s="1"/>
  <c r="E76" i="56" s="1"/>
  <c r="J24" i="56" s="1"/>
  <c r="J25" i="56" s="1"/>
  <c r="I34" i="56"/>
  <c r="I35" i="56" s="1"/>
  <c r="I36" i="56" s="1"/>
  <c r="G51" i="56"/>
  <c r="I58" i="56" s="1"/>
  <c r="E21" i="56"/>
  <c r="E23" i="56" s="1"/>
  <c r="C57" i="56" s="1"/>
  <c r="E57" i="56" s="1"/>
  <c r="E47" i="56"/>
  <c r="E49" i="56" s="1"/>
  <c r="C64" i="56" s="1"/>
  <c r="E28" i="56" l="1"/>
  <c r="E27" i="56"/>
  <c r="H56" i="56"/>
  <c r="H55" i="56" s="1"/>
  <c r="H54" i="56" s="1"/>
  <c r="H53" i="56" s="1"/>
  <c r="I62" i="56"/>
  <c r="I57" i="56"/>
  <c r="J57" i="56" s="1"/>
  <c r="I55" i="56"/>
  <c r="E64" i="56"/>
  <c r="C58" i="56"/>
  <c r="E58" i="56" s="1"/>
  <c r="C56" i="56"/>
  <c r="E56" i="56" s="1"/>
  <c r="I64" i="56"/>
  <c r="J64" i="56" s="1"/>
  <c r="I59" i="56"/>
  <c r="I63" i="56"/>
  <c r="I54" i="56"/>
  <c r="J54" i="56" s="1"/>
  <c r="I53" i="56"/>
  <c r="I61" i="56"/>
  <c r="J61" i="56" s="1"/>
  <c r="I60" i="56"/>
  <c r="J60" i="56" s="1"/>
  <c r="H58" i="56"/>
  <c r="H59" i="56" s="1"/>
  <c r="H60" i="56" s="1"/>
  <c r="H61" i="56" s="1"/>
  <c r="H62" i="56" s="1"/>
  <c r="H63" i="56" s="1"/>
  <c r="I56" i="56"/>
  <c r="J55" i="56" l="1"/>
  <c r="J62" i="56"/>
  <c r="C59" i="56"/>
  <c r="E59" i="56" s="1"/>
  <c r="J53" i="56"/>
  <c r="J56" i="56"/>
  <c r="J59" i="56"/>
  <c r="J63" i="56"/>
  <c r="C55" i="56"/>
  <c r="E55" i="56" s="1"/>
  <c r="J58" i="56"/>
  <c r="I65" i="56"/>
  <c r="C54" i="56" l="1"/>
  <c r="C60" i="56"/>
  <c r="C61" i="56" s="1"/>
  <c r="J65" i="56"/>
  <c r="J66" i="56" s="1"/>
  <c r="E54" i="56"/>
  <c r="C53" i="56"/>
  <c r="E53" i="56" s="1"/>
  <c r="G28" i="54"/>
  <c r="H28" i="54" s="1"/>
  <c r="I28" i="54" s="1"/>
  <c r="G72" i="54"/>
  <c r="F72" i="54"/>
  <c r="G71" i="54"/>
  <c r="F71" i="54"/>
  <c r="G70" i="54"/>
  <c r="F70" i="54"/>
  <c r="G69" i="54"/>
  <c r="F69" i="54"/>
  <c r="G68" i="54"/>
  <c r="F68" i="54"/>
  <c r="G67" i="54"/>
  <c r="F67" i="54"/>
  <c r="G66" i="54"/>
  <c r="F66" i="54"/>
  <c r="G65" i="54"/>
  <c r="F65" i="54"/>
  <c r="G64" i="54"/>
  <c r="F64" i="54"/>
  <c r="G63" i="54"/>
  <c r="F63" i="54"/>
  <c r="G62" i="54"/>
  <c r="F62" i="54"/>
  <c r="G61" i="54"/>
  <c r="F61" i="54"/>
  <c r="G53" i="54"/>
  <c r="H53" i="54" s="1"/>
  <c r="I53" i="54" s="1"/>
  <c r="G52" i="54"/>
  <c r="H52" i="54" s="1"/>
  <c r="I52" i="54" s="1"/>
  <c r="G51" i="54"/>
  <c r="H51" i="54" s="1"/>
  <c r="I51" i="54" s="1"/>
  <c r="G50" i="54"/>
  <c r="H50" i="54" s="1"/>
  <c r="I50" i="54" s="1"/>
  <c r="G49" i="54"/>
  <c r="H49" i="54" s="1"/>
  <c r="I49" i="54" s="1"/>
  <c r="G48" i="54"/>
  <c r="H48" i="54" s="1"/>
  <c r="I48" i="54" s="1"/>
  <c r="G47" i="54"/>
  <c r="H47" i="54" s="1"/>
  <c r="I47" i="54" s="1"/>
  <c r="G46" i="54"/>
  <c r="H46" i="54" s="1"/>
  <c r="I46" i="54" s="1"/>
  <c r="G45" i="54"/>
  <c r="H45" i="54" s="1"/>
  <c r="I45" i="54" s="1"/>
  <c r="G44" i="54"/>
  <c r="H44" i="54" s="1"/>
  <c r="I44" i="54" s="1"/>
  <c r="G43" i="54"/>
  <c r="H43" i="54" s="1"/>
  <c r="I43" i="54" s="1"/>
  <c r="G42" i="54"/>
  <c r="H42" i="54" s="1"/>
  <c r="I42" i="54" s="1"/>
  <c r="G41" i="54"/>
  <c r="H41" i="54" s="1"/>
  <c r="I41" i="54" s="1"/>
  <c r="G40" i="54"/>
  <c r="H40" i="54" s="1"/>
  <c r="I40" i="54" s="1"/>
  <c r="G39" i="54"/>
  <c r="H39" i="54" s="1"/>
  <c r="I39" i="54" s="1"/>
  <c r="G38" i="54"/>
  <c r="H38" i="54" s="1"/>
  <c r="I38" i="54" s="1"/>
  <c r="G37" i="54"/>
  <c r="H37" i="54" s="1"/>
  <c r="I37" i="54" s="1"/>
  <c r="G36" i="54"/>
  <c r="H36" i="54" s="1"/>
  <c r="I36" i="54" s="1"/>
  <c r="G35" i="54"/>
  <c r="H35" i="54" s="1"/>
  <c r="I35" i="54" s="1"/>
  <c r="G34" i="54"/>
  <c r="H34" i="54" s="1"/>
  <c r="I34" i="54" s="1"/>
  <c r="G33" i="54"/>
  <c r="H33" i="54" s="1"/>
  <c r="G29" i="54"/>
  <c r="H29" i="54" s="1"/>
  <c r="I29" i="54" s="1"/>
  <c r="G27" i="54"/>
  <c r="H27" i="54" s="1"/>
  <c r="I27" i="54" s="1"/>
  <c r="G26" i="54"/>
  <c r="H26" i="54" s="1"/>
  <c r="I26" i="54" s="1"/>
  <c r="G25" i="54"/>
  <c r="H25" i="54" s="1"/>
  <c r="I25" i="54" s="1"/>
  <c r="G24" i="54"/>
  <c r="H24" i="54" s="1"/>
  <c r="I24" i="54" s="1"/>
  <c r="G23" i="54"/>
  <c r="H23" i="54" s="1"/>
  <c r="I23" i="54" s="1"/>
  <c r="G22" i="54"/>
  <c r="H22" i="54" s="1"/>
  <c r="I22" i="54" s="1"/>
  <c r="G21" i="54"/>
  <c r="H21" i="54" s="1"/>
  <c r="I21" i="54" s="1"/>
  <c r="G20" i="54"/>
  <c r="H20" i="54" s="1"/>
  <c r="I20" i="54" s="1"/>
  <c r="G19" i="54"/>
  <c r="H19" i="54" s="1"/>
  <c r="I19" i="54" s="1"/>
  <c r="G18" i="54"/>
  <c r="H18" i="54" s="1"/>
  <c r="I18" i="54" s="1"/>
  <c r="G17" i="54"/>
  <c r="H17" i="54" s="1"/>
  <c r="I17" i="54" s="1"/>
  <c r="G16" i="54"/>
  <c r="H16" i="54" s="1"/>
  <c r="I16" i="54" s="1"/>
  <c r="G15" i="54"/>
  <c r="H15" i="54" s="1"/>
  <c r="I15" i="54" s="1"/>
  <c r="G14" i="54"/>
  <c r="H14" i="54" s="1"/>
  <c r="I14" i="54" s="1"/>
  <c r="G13" i="54"/>
  <c r="H13" i="54" s="1"/>
  <c r="I13" i="54" s="1"/>
  <c r="G12" i="54"/>
  <c r="H12" i="54" s="1"/>
  <c r="I12" i="54" s="1"/>
  <c r="G11" i="54"/>
  <c r="H11" i="54" s="1"/>
  <c r="I11" i="54" s="1"/>
  <c r="G10" i="54"/>
  <c r="H10" i="54" s="1"/>
  <c r="I10" i="54" s="1"/>
  <c r="G9" i="54"/>
  <c r="H9" i="54" s="1"/>
  <c r="I9" i="54" s="1"/>
  <c r="G8" i="54"/>
  <c r="H8" i="54" s="1"/>
  <c r="I8" i="54" s="1"/>
  <c r="G7" i="54"/>
  <c r="H7" i="54" s="1"/>
  <c r="I7" i="54" s="1"/>
  <c r="G6" i="54"/>
  <c r="H6" i="54" s="1"/>
  <c r="I6" i="54" s="1"/>
  <c r="G5" i="54"/>
  <c r="H5" i="54" s="1"/>
  <c r="I5" i="54" s="1"/>
  <c r="G4" i="54"/>
  <c r="H4" i="54" s="1"/>
  <c r="I4" i="54" s="1"/>
  <c r="G3" i="54"/>
  <c r="H3" i="54" s="1"/>
  <c r="F157" i="39"/>
  <c r="J32" i="39"/>
  <c r="K32" i="39" s="1"/>
  <c r="J36" i="39" s="1"/>
  <c r="F151" i="39"/>
  <c r="F139" i="39"/>
  <c r="F89" i="39"/>
  <c r="F82" i="39"/>
  <c r="F71" i="39"/>
  <c r="F55" i="39"/>
  <c r="F43" i="39"/>
  <c r="F35" i="39"/>
  <c r="F30" i="39"/>
  <c r="F123" i="39"/>
  <c r="F110" i="39"/>
  <c r="F99" i="39"/>
  <c r="F94" i="39"/>
  <c r="J42" i="39"/>
  <c r="J31" i="39"/>
  <c r="K31" i="39" s="1"/>
  <c r="J35" i="39" s="1"/>
  <c r="F13" i="52"/>
  <c r="F14" i="52"/>
  <c r="F12" i="52"/>
  <c r="E71" i="52"/>
  <c r="D71" i="52"/>
  <c r="F71" i="52" s="1"/>
  <c r="E58" i="52"/>
  <c r="D58" i="52"/>
  <c r="F58" i="52" s="1"/>
  <c r="E38" i="52"/>
  <c r="E37" i="52"/>
  <c r="E34" i="52"/>
  <c r="E32" i="52"/>
  <c r="E31" i="52"/>
  <c r="E28" i="52"/>
  <c r="E27" i="52"/>
  <c r="C19" i="52"/>
  <c r="I18" i="52"/>
  <c r="C18" i="52"/>
  <c r="E14" i="52"/>
  <c r="E13" i="52"/>
  <c r="I12" i="52"/>
  <c r="E12" i="52"/>
  <c r="I10" i="52"/>
  <c r="I11" i="52" s="1"/>
  <c r="C8" i="52"/>
  <c r="E6" i="52"/>
  <c r="C4" i="52"/>
  <c r="E2" i="52"/>
  <c r="F51" i="51"/>
  <c r="G68" i="51"/>
  <c r="I68" i="51" s="1"/>
  <c r="K68" i="51" s="1"/>
  <c r="G62" i="51"/>
  <c r="I62" i="51" s="1"/>
  <c r="G63" i="51"/>
  <c r="I63" i="51" s="1"/>
  <c r="G64" i="51"/>
  <c r="I64" i="51" s="1"/>
  <c r="G65" i="51"/>
  <c r="I65" i="51" s="1"/>
  <c r="G61" i="51"/>
  <c r="I61" i="51" s="1"/>
  <c r="I66" i="51" s="1"/>
  <c r="K66" i="51" s="1"/>
  <c r="K58" i="51"/>
  <c r="F57" i="51"/>
  <c r="F56" i="51"/>
  <c r="F55" i="51"/>
  <c r="F54" i="51"/>
  <c r="F53" i="51"/>
  <c r="F52" i="51"/>
  <c r="F50" i="51"/>
  <c r="F49" i="51"/>
  <c r="F48" i="51"/>
  <c r="F47" i="51"/>
  <c r="F41" i="51"/>
  <c r="F40" i="51"/>
  <c r="F39" i="51"/>
  <c r="F38" i="51"/>
  <c r="F37" i="51"/>
  <c r="F36" i="51"/>
  <c r="F35" i="51"/>
  <c r="F34" i="51"/>
  <c r="F33" i="51"/>
  <c r="F42" i="51" s="1"/>
  <c r="F32" i="51"/>
  <c r="E22" i="51"/>
  <c r="E23" i="51"/>
  <c r="E24" i="51"/>
  <c r="E21" i="51"/>
  <c r="E15" i="51"/>
  <c r="E14" i="51"/>
  <c r="E16" i="51" s="1"/>
  <c r="G16" i="51" s="1"/>
  <c r="E11" i="51"/>
  <c r="E10" i="51"/>
  <c r="E4" i="51"/>
  <c r="E5" i="51"/>
  <c r="E6" i="51"/>
  <c r="E7" i="51"/>
  <c r="E3" i="51"/>
  <c r="G17" i="51"/>
  <c r="G26" i="51"/>
  <c r="B153" i="39"/>
  <c r="B122" i="39"/>
  <c r="B94" i="39"/>
  <c r="B63" i="39"/>
  <c r="B32" i="39"/>
  <c r="B30" i="39"/>
  <c r="B28" i="39" s="1"/>
  <c r="H20" i="50"/>
  <c r="H17" i="50"/>
  <c r="F32" i="50"/>
  <c r="H32" i="50" s="1"/>
  <c r="F31" i="50"/>
  <c r="H31" i="50" s="1"/>
  <c r="F30" i="50"/>
  <c r="H30" i="50" s="1"/>
  <c r="F29" i="50"/>
  <c r="H29" i="50" s="1"/>
  <c r="F5" i="50"/>
  <c r="H5" i="50" s="1"/>
  <c r="H24" i="50"/>
  <c r="H23" i="50"/>
  <c r="H22" i="50"/>
  <c r="H21" i="50"/>
  <c r="H19" i="50"/>
  <c r="H18" i="50"/>
  <c r="H16" i="50"/>
  <c r="H15" i="50"/>
  <c r="H14" i="50"/>
  <c r="H13" i="50"/>
  <c r="F9" i="50"/>
  <c r="H9" i="50" s="1"/>
  <c r="F8" i="50"/>
  <c r="H8" i="50" s="1"/>
  <c r="F7" i="50"/>
  <c r="H7" i="50" s="1"/>
  <c r="F6" i="50"/>
  <c r="H6" i="50" s="1"/>
  <c r="F4" i="50"/>
  <c r="H4" i="50" s="1"/>
  <c r="F3" i="50"/>
  <c r="H16" i="47"/>
  <c r="H21" i="47"/>
  <c r="H20" i="47"/>
  <c r="H19" i="47"/>
  <c r="H17" i="47"/>
  <c r="H18" i="47"/>
  <c r="H15" i="47"/>
  <c r="H14" i="47"/>
  <c r="H13" i="47"/>
  <c r="H12" i="47"/>
  <c r="G3" i="49"/>
  <c r="G2" i="49"/>
  <c r="G6" i="48"/>
  <c r="G2" i="48"/>
  <c r="G4" i="48"/>
  <c r="G5" i="48"/>
  <c r="E5" i="48"/>
  <c r="F5" i="48" s="1"/>
  <c r="J5" i="48"/>
  <c r="E4" i="48"/>
  <c r="F4" i="48" s="1"/>
  <c r="E35" i="49"/>
  <c r="E34" i="49"/>
  <c r="C27" i="49"/>
  <c r="C8" i="49"/>
  <c r="J4" i="48"/>
  <c r="K3" i="49"/>
  <c r="K2" i="49"/>
  <c r="I16" i="49"/>
  <c r="I17" i="49" s="1"/>
  <c r="C18" i="49" s="1"/>
  <c r="E21" i="49"/>
  <c r="C26" i="49"/>
  <c r="I18" i="49"/>
  <c r="C19" i="49" s="1"/>
  <c r="E19" i="49" s="1"/>
  <c r="E6" i="48"/>
  <c r="F6" i="48" s="1"/>
  <c r="E3" i="49"/>
  <c r="F3" i="49" s="1"/>
  <c r="J3" i="49"/>
  <c r="J6" i="48"/>
  <c r="E2" i="49"/>
  <c r="F2" i="49" s="1"/>
  <c r="F8" i="47"/>
  <c r="H8" i="47" s="1"/>
  <c r="F7" i="47"/>
  <c r="H7" i="47" s="1"/>
  <c r="F6" i="47"/>
  <c r="H6" i="47" s="1"/>
  <c r="D3" i="48"/>
  <c r="J3" i="48" s="1"/>
  <c r="K7" i="48"/>
  <c r="D7" i="48" s="1"/>
  <c r="F2" i="48"/>
  <c r="E3" i="48"/>
  <c r="E71" i="46"/>
  <c r="D71" i="46"/>
  <c r="F5" i="47"/>
  <c r="H5" i="47" s="1"/>
  <c r="F4" i="47"/>
  <c r="H4" i="47" s="1"/>
  <c r="F3" i="47"/>
  <c r="H3" i="47" s="1"/>
  <c r="E58" i="46"/>
  <c r="D58" i="46"/>
  <c r="E28" i="46"/>
  <c r="E32" i="46"/>
  <c r="E38" i="46"/>
  <c r="E37" i="46"/>
  <c r="C19" i="46"/>
  <c r="C18" i="46"/>
  <c r="I18" i="46"/>
  <c r="C8" i="46"/>
  <c r="C4" i="46"/>
  <c r="E6" i="46"/>
  <c r="E14" i="46"/>
  <c r="I12" i="46"/>
  <c r="I10" i="46"/>
  <c r="I11" i="46" s="1"/>
  <c r="E12" i="46"/>
  <c r="E13" i="46"/>
  <c r="E34" i="46"/>
  <c r="E31" i="46"/>
  <c r="E27" i="46"/>
  <c r="E2" i="46"/>
  <c r="H61" i="10"/>
  <c r="G986" i="43"/>
  <c r="I21" i="39"/>
  <c r="G17" i="43"/>
  <c r="G16" i="43"/>
  <c r="G15" i="43"/>
  <c r="G14" i="43"/>
  <c r="G13" i="43"/>
  <c r="G12" i="43"/>
  <c r="G11" i="43"/>
  <c r="G10" i="43"/>
  <c r="G9" i="43"/>
  <c r="G7" i="43"/>
  <c r="G6" i="43"/>
  <c r="G5" i="43"/>
  <c r="D11" i="10"/>
  <c r="I20" i="39"/>
  <c r="I19" i="39"/>
  <c r="I18" i="39"/>
  <c r="I27" i="39"/>
  <c r="I17" i="39"/>
  <c r="I26" i="39"/>
  <c r="G79" i="40"/>
  <c r="G78" i="40"/>
  <c r="G77" i="40"/>
  <c r="G76" i="40"/>
  <c r="G75" i="40"/>
  <c r="G74" i="40"/>
  <c r="G73" i="40"/>
  <c r="G72" i="40"/>
  <c r="G71" i="40"/>
  <c r="G70" i="40"/>
  <c r="G69" i="40"/>
  <c r="G68" i="40"/>
  <c r="F79" i="40"/>
  <c r="M37" i="10"/>
  <c r="M38" i="10" s="1"/>
  <c r="D40" i="10" s="1"/>
  <c r="F69" i="40"/>
  <c r="F70" i="40"/>
  <c r="F71" i="40"/>
  <c r="F72" i="40"/>
  <c r="F73" i="40"/>
  <c r="F74" i="40"/>
  <c r="F75" i="40"/>
  <c r="F76" i="40"/>
  <c r="F77" i="40"/>
  <c r="F78" i="40"/>
  <c r="F68" i="40"/>
  <c r="I25" i="39"/>
  <c r="D66" i="10"/>
  <c r="I24" i="39"/>
  <c r="I16" i="39"/>
  <c r="I14" i="39"/>
  <c r="I15" i="39"/>
  <c r="G457" i="43"/>
  <c r="G8" i="43" s="1"/>
  <c r="H6" i="43"/>
  <c r="D91" i="10"/>
  <c r="D88" i="10"/>
  <c r="D85" i="10"/>
  <c r="G59" i="40"/>
  <c r="H59" i="40" s="1"/>
  <c r="I59" i="40" s="1"/>
  <c r="L13" i="10"/>
  <c r="L12" i="10"/>
  <c r="H49" i="28"/>
  <c r="H50" i="28"/>
  <c r="H51" i="28"/>
  <c r="H48" i="28"/>
  <c r="G49" i="28"/>
  <c r="G50" i="28"/>
  <c r="G51" i="28"/>
  <c r="I51" i="28" s="1"/>
  <c r="G48" i="28"/>
  <c r="F7" i="44"/>
  <c r="F27" i="44"/>
  <c r="F26" i="44"/>
  <c r="F35" i="44"/>
  <c r="F34" i="44"/>
  <c r="F33" i="44"/>
  <c r="F32" i="44"/>
  <c r="G31" i="44"/>
  <c r="G30" i="44"/>
  <c r="F25" i="44"/>
  <c r="F24" i="44"/>
  <c r="F23" i="44"/>
  <c r="F11" i="44"/>
  <c r="F10" i="44"/>
  <c r="F5" i="44"/>
  <c r="G14" i="44"/>
  <c r="G13" i="44"/>
  <c r="G12" i="44"/>
  <c r="F17" i="44"/>
  <c r="F19" i="44"/>
  <c r="F18" i="44"/>
  <c r="F4" i="44"/>
  <c r="J29" i="35"/>
  <c r="J30" i="35"/>
  <c r="J31" i="35"/>
  <c r="J28" i="35"/>
  <c r="F9" i="44"/>
  <c r="F16" i="44"/>
  <c r="F15" i="44"/>
  <c r="F8" i="44"/>
  <c r="F6" i="44"/>
  <c r="H41" i="28"/>
  <c r="H42" i="28"/>
  <c r="H43" i="28"/>
  <c r="H44" i="28"/>
  <c r="H40" i="28"/>
  <c r="J42" i="28"/>
  <c r="K42" i="28" s="1"/>
  <c r="J43" i="28"/>
  <c r="K43" i="28" s="1"/>
  <c r="J44" i="28"/>
  <c r="K44" i="28" s="1"/>
  <c r="J41" i="28"/>
  <c r="K41" i="28" s="1"/>
  <c r="J40" i="28"/>
  <c r="K40" i="28" s="1"/>
  <c r="G16" i="40"/>
  <c r="H16" i="40" s="1"/>
  <c r="I16" i="40" s="1"/>
  <c r="L8" i="10"/>
  <c r="D73" i="10"/>
  <c r="L9" i="10"/>
  <c r="F10" i="10"/>
  <c r="F11" i="10"/>
  <c r="G58" i="10"/>
  <c r="D60" i="10" s="1"/>
  <c r="F12" i="10"/>
  <c r="F13" i="10"/>
  <c r="F8" i="10"/>
  <c r="F7" i="10"/>
  <c r="H30" i="10" s="1"/>
  <c r="G5" i="40"/>
  <c r="H5" i="40" s="1"/>
  <c r="I5" i="40" s="1"/>
  <c r="G33" i="40"/>
  <c r="H33" i="40" s="1"/>
  <c r="I33" i="40" s="1"/>
  <c r="G14" i="40"/>
  <c r="H14" i="40" s="1"/>
  <c r="I14" i="40" s="1"/>
  <c r="G13" i="40"/>
  <c r="H13" i="40" s="1"/>
  <c r="I13" i="40" s="1"/>
  <c r="G60" i="40"/>
  <c r="H60" i="40" s="1"/>
  <c r="I60" i="40" s="1"/>
  <c r="G58" i="40"/>
  <c r="H58" i="40" s="1"/>
  <c r="I58" i="40" s="1"/>
  <c r="G56" i="40"/>
  <c r="H56" i="40" s="1"/>
  <c r="I56" i="40" s="1"/>
  <c r="G48" i="40"/>
  <c r="H48" i="40" s="1"/>
  <c r="I48" i="40" s="1"/>
  <c r="G49" i="40"/>
  <c r="H49" i="40" s="1"/>
  <c r="I49" i="40" s="1"/>
  <c r="G8" i="10"/>
  <c r="G9" i="10"/>
  <c r="G10" i="10"/>
  <c r="G11" i="10"/>
  <c r="G12" i="10"/>
  <c r="G13" i="10"/>
  <c r="G7" i="10"/>
  <c r="H31" i="10" s="1"/>
  <c r="L10" i="10"/>
  <c r="L7" i="10"/>
  <c r="G17" i="40"/>
  <c r="H17" i="40" s="1"/>
  <c r="I17" i="40" s="1"/>
  <c r="G41" i="40"/>
  <c r="H41" i="40" s="1"/>
  <c r="G40" i="40"/>
  <c r="H40" i="40" s="1"/>
  <c r="I40" i="40" s="1"/>
  <c r="H1517" i="17"/>
  <c r="H7" i="17" s="1"/>
  <c r="G35" i="40"/>
  <c r="H35" i="40" s="1"/>
  <c r="I35" i="40" s="1"/>
  <c r="G27" i="40"/>
  <c r="H27" i="40" s="1"/>
  <c r="I27" i="40" s="1"/>
  <c r="G25" i="40"/>
  <c r="H25" i="40" s="1"/>
  <c r="I25" i="40" s="1"/>
  <c r="G24" i="40"/>
  <c r="H24" i="40" s="1"/>
  <c r="I24" i="40" s="1"/>
  <c r="G23" i="40"/>
  <c r="H23" i="40" s="1"/>
  <c r="I23" i="40" s="1"/>
  <c r="G22" i="40"/>
  <c r="H22" i="40" s="1"/>
  <c r="I22" i="40" s="1"/>
  <c r="G57" i="40"/>
  <c r="H57" i="40" s="1"/>
  <c r="I57" i="40" s="1"/>
  <c r="G55" i="40"/>
  <c r="H55" i="40" s="1"/>
  <c r="I55" i="40" s="1"/>
  <c r="G53" i="40"/>
  <c r="H53" i="40" s="1"/>
  <c r="I53" i="40" s="1"/>
  <c r="G38" i="40"/>
  <c r="H38" i="40" s="1"/>
  <c r="I38" i="40" s="1"/>
  <c r="G37" i="40"/>
  <c r="H37" i="40" s="1"/>
  <c r="I37" i="40" s="1"/>
  <c r="G36" i="40"/>
  <c r="H36" i="40" s="1"/>
  <c r="I36" i="40" s="1"/>
  <c r="G52" i="40"/>
  <c r="H52" i="40" s="1"/>
  <c r="I52" i="40" s="1"/>
  <c r="G51" i="40"/>
  <c r="H51" i="40" s="1"/>
  <c r="I51" i="40" s="1"/>
  <c r="G50" i="40"/>
  <c r="H50" i="40" s="1"/>
  <c r="I50" i="40" s="1"/>
  <c r="G34" i="40"/>
  <c r="H34" i="40" s="1"/>
  <c r="I34" i="40" s="1"/>
  <c r="G54" i="40"/>
  <c r="H54" i="40" s="1"/>
  <c r="I54" i="40" s="1"/>
  <c r="G39" i="40"/>
  <c r="H39" i="40" s="1"/>
  <c r="I39" i="40" s="1"/>
  <c r="G29" i="40"/>
  <c r="H29" i="40" s="1"/>
  <c r="I29" i="40" s="1"/>
  <c r="G26" i="40"/>
  <c r="H26" i="40" s="1"/>
  <c r="I26" i="40" s="1"/>
  <c r="G44" i="40"/>
  <c r="H44" i="40" s="1"/>
  <c r="I44" i="40" s="1"/>
  <c r="G47" i="40"/>
  <c r="H47" i="40" s="1"/>
  <c r="I47" i="40" s="1"/>
  <c r="G46" i="40"/>
  <c r="H46" i="40" s="1"/>
  <c r="I46" i="40" s="1"/>
  <c r="G42" i="40"/>
  <c r="H42" i="40" s="1"/>
  <c r="I42" i="40" s="1"/>
  <c r="G45" i="40"/>
  <c r="H45" i="40" s="1"/>
  <c r="I45" i="40" s="1"/>
  <c r="G43" i="40"/>
  <c r="H43" i="40" s="1"/>
  <c r="I43" i="40" s="1"/>
  <c r="G28" i="40"/>
  <c r="H28" i="40" s="1"/>
  <c r="I28" i="40" s="1"/>
  <c r="G21" i="40"/>
  <c r="H21" i="40" s="1"/>
  <c r="I21" i="40" s="1"/>
  <c r="G20" i="40"/>
  <c r="H20" i="40" s="1"/>
  <c r="I20" i="40" s="1"/>
  <c r="G19" i="40"/>
  <c r="H19" i="40" s="1"/>
  <c r="I19" i="40" s="1"/>
  <c r="G18" i="40"/>
  <c r="H18" i="40" s="1"/>
  <c r="I18" i="40" s="1"/>
  <c r="G15" i="40"/>
  <c r="H15" i="40" s="1"/>
  <c r="I15" i="40" s="1"/>
  <c r="G12" i="40"/>
  <c r="H12" i="40" s="1"/>
  <c r="I12" i="40" s="1"/>
  <c r="G11" i="40"/>
  <c r="H11" i="40" s="1"/>
  <c r="I11" i="40" s="1"/>
  <c r="G10" i="40"/>
  <c r="H10" i="40" s="1"/>
  <c r="I10" i="40" s="1"/>
  <c r="G9" i="40"/>
  <c r="H9" i="40" s="1"/>
  <c r="I9" i="40" s="1"/>
  <c r="G8" i="40"/>
  <c r="H8" i="40" s="1"/>
  <c r="I8" i="40" s="1"/>
  <c r="G7" i="40"/>
  <c r="H7" i="40" s="1"/>
  <c r="I7" i="40" s="1"/>
  <c r="G6" i="40"/>
  <c r="H6" i="40" s="1"/>
  <c r="I6" i="40" s="1"/>
  <c r="G4" i="40"/>
  <c r="H4" i="40" s="1"/>
  <c r="I4" i="40" s="1"/>
  <c r="G3" i="40"/>
  <c r="H3" i="40" s="1"/>
  <c r="I3" i="40" s="1"/>
  <c r="C12" i="22"/>
  <c r="H3" i="11"/>
  <c r="H4" i="11"/>
  <c r="H5" i="11"/>
  <c r="B10" i="11"/>
  <c r="F8" i="14"/>
  <c r="F9" i="14"/>
  <c r="D14" i="14"/>
  <c r="F14" i="14"/>
  <c r="D15" i="14"/>
  <c r="F15" i="14"/>
  <c r="D16" i="14"/>
  <c r="F16" i="14"/>
  <c r="D17" i="14"/>
  <c r="F17" i="14"/>
  <c r="F18" i="14"/>
  <c r="D22" i="14"/>
  <c r="F22" i="14"/>
  <c r="D23" i="14"/>
  <c r="F23" i="14"/>
  <c r="D24" i="14"/>
  <c r="F24" i="14"/>
  <c r="D25" i="14"/>
  <c r="F25" i="14"/>
  <c r="F26" i="14"/>
  <c r="D30" i="14"/>
  <c r="F30" i="14"/>
  <c r="D31" i="14"/>
  <c r="F31" i="14"/>
  <c r="D32" i="14"/>
  <c r="D34" i="14" s="1"/>
  <c r="F32" i="14"/>
  <c r="F33" i="14"/>
  <c r="D40" i="14"/>
  <c r="F40" i="14"/>
  <c r="I40" i="14"/>
  <c r="M40" i="14"/>
  <c r="D41" i="14"/>
  <c r="F41" i="14"/>
  <c r="H41" i="14"/>
  <c r="I41" i="14" s="1"/>
  <c r="I43" i="14" s="1"/>
  <c r="J41" i="14"/>
  <c r="M41" i="14"/>
  <c r="D42" i="14"/>
  <c r="F42" i="14"/>
  <c r="J42" i="14"/>
  <c r="I42" i="14"/>
  <c r="F43" i="14"/>
  <c r="J43" i="14"/>
  <c r="F44" i="14"/>
  <c r="F49" i="14"/>
  <c r="F51" i="14" s="1"/>
  <c r="F50" i="14"/>
  <c r="H51" i="14"/>
  <c r="I51" i="14"/>
  <c r="E3" i="24"/>
  <c r="E4" i="24"/>
  <c r="E5" i="24"/>
  <c r="E6" i="24"/>
  <c r="E7" i="24"/>
  <c r="E4" i="26"/>
  <c r="E5" i="26"/>
  <c r="E6" i="26"/>
  <c r="E7" i="26"/>
  <c r="E12" i="26"/>
  <c r="E14" i="26"/>
  <c r="E15" i="26"/>
  <c r="E16" i="26"/>
  <c r="E17" i="26"/>
  <c r="E18" i="26"/>
  <c r="E19" i="26"/>
  <c r="E20" i="26"/>
  <c r="E21" i="26"/>
  <c r="E23" i="26"/>
  <c r="E24" i="26"/>
  <c r="F25" i="26"/>
  <c r="G25" i="26"/>
  <c r="H25" i="26"/>
  <c r="E33" i="26"/>
  <c r="E34" i="26"/>
  <c r="E35" i="26"/>
  <c r="E36" i="26"/>
  <c r="E37" i="26"/>
  <c r="E38" i="26"/>
  <c r="E41" i="26"/>
  <c r="G41" i="26"/>
  <c r="I41" i="26"/>
  <c r="K41" i="26"/>
  <c r="M41" i="26"/>
  <c r="O41" i="26"/>
  <c r="E42" i="26"/>
  <c r="G42" i="26"/>
  <c r="I42" i="26"/>
  <c r="K42" i="26"/>
  <c r="M42" i="26"/>
  <c r="O42" i="26"/>
  <c r="E44" i="26"/>
  <c r="G44" i="26"/>
  <c r="I44" i="26"/>
  <c r="K44" i="26"/>
  <c r="M44" i="26"/>
  <c r="O44" i="26"/>
  <c r="E45" i="26"/>
  <c r="G45" i="26"/>
  <c r="I45" i="26"/>
  <c r="K45" i="26"/>
  <c r="M45" i="26"/>
  <c r="O45" i="26"/>
  <c r="E46" i="26"/>
  <c r="G46" i="26"/>
  <c r="I46" i="26"/>
  <c r="K46" i="26"/>
  <c r="M46" i="26"/>
  <c r="O46" i="26"/>
  <c r="E47" i="26"/>
  <c r="G47" i="26"/>
  <c r="I47" i="26"/>
  <c r="K47" i="26"/>
  <c r="M47" i="26"/>
  <c r="O47" i="26"/>
  <c r="E48" i="26"/>
  <c r="G48" i="26"/>
  <c r="I48" i="26"/>
  <c r="K48" i="26"/>
  <c r="M48" i="26"/>
  <c r="O48" i="26"/>
  <c r="E49" i="26"/>
  <c r="G49" i="26"/>
  <c r="I49" i="26"/>
  <c r="K49" i="26"/>
  <c r="M49" i="26"/>
  <c r="O49" i="26"/>
  <c r="E50" i="26"/>
  <c r="G50" i="26"/>
  <c r="I50" i="26"/>
  <c r="K50" i="26"/>
  <c r="M50" i="26"/>
  <c r="O50" i="26"/>
  <c r="H3" i="4"/>
  <c r="I3" i="4" s="1"/>
  <c r="K3" i="4" s="1"/>
  <c r="H4" i="4"/>
  <c r="I4" i="4" s="1"/>
  <c r="K4" i="4" s="1"/>
  <c r="H5" i="4"/>
  <c r="I5" i="4" s="1"/>
  <c r="K5" i="4" s="1"/>
  <c r="H6" i="4"/>
  <c r="I6" i="4" s="1"/>
  <c r="K6" i="4" s="1"/>
  <c r="H7" i="4"/>
  <c r="I7" i="4" s="1"/>
  <c r="K7" i="4" s="1"/>
  <c r="D12" i="4"/>
  <c r="D13" i="4"/>
  <c r="L13" i="4" s="1"/>
  <c r="F13" i="4"/>
  <c r="O13" i="4" s="1"/>
  <c r="J13" i="4"/>
  <c r="D14" i="4"/>
  <c r="D15" i="4"/>
  <c r="L15" i="4" s="1"/>
  <c r="F15" i="4"/>
  <c r="O15" i="4" s="1"/>
  <c r="J15" i="4"/>
  <c r="N15" i="4"/>
  <c r="D16" i="4"/>
  <c r="D17" i="4"/>
  <c r="D18" i="4"/>
  <c r="D19" i="4"/>
  <c r="D22" i="4"/>
  <c r="D23" i="4"/>
  <c r="D24" i="4"/>
  <c r="K24" i="4" s="1"/>
  <c r="F24" i="4"/>
  <c r="N24" i="4" s="1"/>
  <c r="G24" i="4"/>
  <c r="D25" i="4"/>
  <c r="G25" i="4"/>
  <c r="D26" i="4"/>
  <c r="G26" i="4"/>
  <c r="D28" i="4"/>
  <c r="D29" i="4"/>
  <c r="D30" i="4"/>
  <c r="K31" i="4"/>
  <c r="N31" i="4"/>
  <c r="H39" i="4"/>
  <c r="I39" i="4" s="1"/>
  <c r="K39" i="4" s="1"/>
  <c r="H40" i="4"/>
  <c r="I40" i="4"/>
  <c r="K40" i="4" s="1"/>
  <c r="H42" i="4"/>
  <c r="I42" i="4" s="1"/>
  <c r="K42" i="4" s="1"/>
  <c r="H44" i="4"/>
  <c r="I44" i="4" s="1"/>
  <c r="K44" i="4" s="1"/>
  <c r="H45" i="4"/>
  <c r="I45" i="4" s="1"/>
  <c r="K45" i="4" s="1"/>
  <c r="H47" i="4"/>
  <c r="I47" i="4" s="1"/>
  <c r="K47" i="4" s="1"/>
  <c r="H48" i="4"/>
  <c r="I48" i="4" s="1"/>
  <c r="K48" i="4" s="1"/>
  <c r="H50" i="4"/>
  <c r="I50" i="4"/>
  <c r="K50" i="4" s="1"/>
  <c r="H52" i="4"/>
  <c r="I52" i="4" s="1"/>
  <c r="K52" i="4" s="1"/>
  <c r="H53" i="4"/>
  <c r="I53" i="4" s="1"/>
  <c r="K53" i="4" s="1"/>
  <c r="H55" i="4"/>
  <c r="I55" i="4" s="1"/>
  <c r="K55" i="4" s="1"/>
  <c r="H56" i="4"/>
  <c r="I56" i="4" s="1"/>
  <c r="K56" i="4" s="1"/>
  <c r="H58" i="4"/>
  <c r="I58" i="4" s="1"/>
  <c r="K58" i="4" s="1"/>
  <c r="H59" i="4"/>
  <c r="I59" i="4" s="1"/>
  <c r="K59" i="4" s="1"/>
  <c r="H61" i="4"/>
  <c r="I61" i="4" s="1"/>
  <c r="K61" i="4" s="1"/>
  <c r="H62" i="4"/>
  <c r="I62" i="4" s="1"/>
  <c r="K62" i="4" s="1"/>
  <c r="H64" i="4"/>
  <c r="I64" i="4" s="1"/>
  <c r="K64" i="4" s="1"/>
  <c r="H65" i="4"/>
  <c r="I65" i="4" s="1"/>
  <c r="K65" i="4" s="1"/>
  <c r="H67" i="4"/>
  <c r="I67" i="4" s="1"/>
  <c r="K67" i="4" s="1"/>
  <c r="H68" i="4"/>
  <c r="I68" i="4" s="1"/>
  <c r="K68" i="4" s="1"/>
  <c r="H69" i="4"/>
  <c r="I69" i="4" s="1"/>
  <c r="K69" i="4" s="1"/>
  <c r="H71" i="4"/>
  <c r="I71" i="4" s="1"/>
  <c r="K71" i="4" s="1"/>
  <c r="H72" i="4"/>
  <c r="I72" i="4" s="1"/>
  <c r="K72" i="4" s="1"/>
  <c r="H76" i="4"/>
  <c r="I76" i="4" s="1"/>
  <c r="K76" i="4" s="1"/>
  <c r="H77" i="4"/>
  <c r="I77" i="4" s="1"/>
  <c r="K77" i="4" s="1"/>
  <c r="H79" i="4"/>
  <c r="I79" i="4"/>
  <c r="K79" i="4" s="1"/>
  <c r="H80" i="4"/>
  <c r="I80" i="4" s="1"/>
  <c r="K80" i="4" s="1"/>
  <c r="H81" i="4"/>
  <c r="I81" i="4" s="1"/>
  <c r="K81" i="4" s="1"/>
  <c r="H83" i="4"/>
  <c r="I83" i="4" s="1"/>
  <c r="K83" i="4" s="1"/>
  <c r="H84" i="4"/>
  <c r="I84" i="4" s="1"/>
  <c r="K84" i="4" s="1"/>
  <c r="E6" i="23"/>
  <c r="E8" i="23"/>
  <c r="E10" i="23"/>
  <c r="E11" i="23"/>
  <c r="E13" i="23"/>
  <c r="E15" i="23"/>
  <c r="E17" i="23"/>
  <c r="E19" i="23"/>
  <c r="E23" i="23"/>
  <c r="E24" i="23"/>
  <c r="E28" i="23"/>
  <c r="E29" i="23"/>
  <c r="E30" i="23"/>
  <c r="E32" i="23"/>
  <c r="E34" i="23"/>
  <c r="E35" i="23"/>
  <c r="E37" i="23"/>
  <c r="E38" i="23"/>
  <c r="E3" i="25"/>
  <c r="E4" i="25"/>
  <c r="E5" i="25"/>
  <c r="E6" i="25"/>
  <c r="E9" i="25"/>
  <c r="E12" i="25"/>
  <c r="E13" i="25"/>
  <c r="E14" i="25"/>
  <c r="E15" i="25"/>
  <c r="E17" i="25"/>
  <c r="E18" i="25"/>
  <c r="E19" i="25"/>
  <c r="E21" i="25"/>
  <c r="E22" i="25"/>
  <c r="E23" i="25"/>
  <c r="E3" i="18"/>
  <c r="E4" i="18"/>
  <c r="E5" i="18"/>
  <c r="E6" i="18"/>
  <c r="E7" i="18"/>
  <c r="E8" i="18"/>
  <c r="E9" i="18"/>
  <c r="E10" i="18"/>
  <c r="E11" i="18"/>
  <c r="E12" i="18"/>
  <c r="E18" i="18"/>
  <c r="E19" i="18"/>
  <c r="E20" i="18"/>
  <c r="E21" i="18"/>
  <c r="E22" i="18"/>
  <c r="H22" i="18"/>
  <c r="E23" i="18"/>
  <c r="E24" i="18"/>
  <c r="E25" i="18"/>
  <c r="E26" i="18"/>
  <c r="E27" i="18"/>
  <c r="E31" i="18"/>
  <c r="E32" i="18"/>
  <c r="E33" i="18"/>
  <c r="E34" i="18"/>
  <c r="E35" i="18"/>
  <c r="E36" i="18"/>
  <c r="E37" i="18"/>
  <c r="E38" i="18"/>
  <c r="E39" i="18"/>
  <c r="E40" i="18"/>
  <c r="E45" i="18"/>
  <c r="E46" i="18"/>
  <c r="E47" i="18"/>
  <c r="E48" i="18"/>
  <c r="E49" i="18"/>
  <c r="E50" i="18"/>
  <c r="E51" i="18"/>
  <c r="E52" i="18"/>
  <c r="E53" i="18"/>
  <c r="E54" i="18"/>
  <c r="E59" i="18"/>
  <c r="E60" i="18"/>
  <c r="E61" i="18"/>
  <c r="E62" i="18"/>
  <c r="E63" i="18"/>
  <c r="E64" i="18"/>
  <c r="E65" i="18"/>
  <c r="E66" i="18"/>
  <c r="E67" i="18"/>
  <c r="E68" i="18"/>
  <c r="E73" i="18"/>
  <c r="E74" i="18"/>
  <c r="E75" i="18"/>
  <c r="E76" i="18"/>
  <c r="E77" i="18"/>
  <c r="E78" i="18"/>
  <c r="E79" i="18"/>
  <c r="E80" i="18"/>
  <c r="E81" i="18"/>
  <c r="E82" i="18"/>
  <c r="C93" i="30"/>
  <c r="E38" i="30" s="1"/>
  <c r="D93" i="30"/>
  <c r="F42" i="31"/>
  <c r="I42" i="31"/>
  <c r="L42" i="31" s="1"/>
  <c r="F43" i="31"/>
  <c r="I43" i="31"/>
  <c r="L43" i="31" s="1"/>
  <c r="M43" i="31" s="1"/>
  <c r="F46" i="31"/>
  <c r="I46" i="31"/>
  <c r="J46" i="31" s="1"/>
  <c r="F47" i="31"/>
  <c r="I47" i="31"/>
  <c r="L47" i="31" s="1"/>
  <c r="M47" i="31" s="1"/>
  <c r="B10" i="13"/>
  <c r="D56" i="16"/>
  <c r="E52" i="16" s="1"/>
  <c r="E3" i="20"/>
  <c r="E4" i="20"/>
  <c r="E5" i="20"/>
  <c r="E6" i="20"/>
  <c r="E7" i="20"/>
  <c r="E8" i="20"/>
  <c r="E9" i="20"/>
  <c r="E10" i="20"/>
  <c r="E11" i="20"/>
  <c r="E12" i="20"/>
  <c r="E18" i="20"/>
  <c r="E19" i="20"/>
  <c r="E20" i="20"/>
  <c r="E21" i="20"/>
  <c r="E22" i="20"/>
  <c r="E23" i="20"/>
  <c r="E24" i="20"/>
  <c r="E25" i="20"/>
  <c r="E29" i="20"/>
  <c r="E30" i="20"/>
  <c r="E31" i="20"/>
  <c r="E32" i="20"/>
  <c r="E33" i="20"/>
  <c r="E38" i="20"/>
  <c r="F38" i="20" s="1"/>
  <c r="E39" i="20"/>
  <c r="E40" i="20"/>
  <c r="F40" i="20" s="1"/>
  <c r="E41" i="20"/>
  <c r="F41" i="20" s="1"/>
  <c r="E42" i="20"/>
  <c r="F42" i="20" s="1"/>
  <c r="E43" i="20"/>
  <c r="F43" i="20"/>
  <c r="E44" i="20"/>
  <c r="F44" i="20" s="1"/>
  <c r="E45" i="20"/>
  <c r="F45" i="20" s="1"/>
  <c r="E49" i="20"/>
  <c r="F49" i="20" s="1"/>
  <c r="E50" i="20"/>
  <c r="F50" i="20" s="1"/>
  <c r="E51" i="20"/>
  <c r="F51" i="20" s="1"/>
  <c r="E52" i="20"/>
  <c r="F52" i="20" s="1"/>
  <c r="E53" i="20"/>
  <c r="F53" i="20"/>
  <c r="E54" i="20"/>
  <c r="F54" i="20" s="1"/>
  <c r="E55" i="20"/>
  <c r="F55" i="20" s="1"/>
  <c r="E56" i="20"/>
  <c r="F56" i="20" s="1"/>
  <c r="I57" i="20"/>
  <c r="I58" i="20"/>
  <c r="F5" i="27"/>
  <c r="H5" i="27"/>
  <c r="J5" i="27"/>
  <c r="L5" i="27"/>
  <c r="N5" i="27"/>
  <c r="F6" i="27"/>
  <c r="H6" i="27"/>
  <c r="J6" i="27"/>
  <c r="L6" i="27"/>
  <c r="N6" i="27"/>
  <c r="F7" i="27"/>
  <c r="H7" i="27"/>
  <c r="J7" i="27"/>
  <c r="L7" i="27"/>
  <c r="N7" i="27"/>
  <c r="F8" i="27"/>
  <c r="H8" i="27"/>
  <c r="J8" i="27"/>
  <c r="L8" i="27"/>
  <c r="N8" i="27"/>
  <c r="F9" i="27"/>
  <c r="H9" i="27"/>
  <c r="J9" i="27"/>
  <c r="L9" i="27"/>
  <c r="N9" i="27"/>
  <c r="F10" i="27"/>
  <c r="H10" i="27"/>
  <c r="J10" i="27"/>
  <c r="L10" i="27"/>
  <c r="N10" i="27"/>
  <c r="F11" i="27"/>
  <c r="H11" i="27"/>
  <c r="J11" i="27"/>
  <c r="L11" i="27"/>
  <c r="N11" i="27"/>
  <c r="F12" i="27"/>
  <c r="H12" i="27"/>
  <c r="J12" i="27"/>
  <c r="L12" i="27"/>
  <c r="N12" i="27"/>
  <c r="F13" i="27"/>
  <c r="H13" i="27"/>
  <c r="J13" i="27"/>
  <c r="L13" i="27"/>
  <c r="N13" i="27"/>
  <c r="F14" i="27"/>
  <c r="H14" i="27"/>
  <c r="J14" i="27"/>
  <c r="L14" i="27"/>
  <c r="N14" i="27"/>
  <c r="F15" i="27"/>
  <c r="H15" i="27"/>
  <c r="J15" i="27"/>
  <c r="L15" i="27"/>
  <c r="N15" i="27"/>
  <c r="F16" i="27"/>
  <c r="H16" i="27"/>
  <c r="J16" i="27"/>
  <c r="L16" i="27"/>
  <c r="N16" i="27"/>
  <c r="F17" i="27"/>
  <c r="H17" i="27"/>
  <c r="J17" i="27"/>
  <c r="L17" i="27"/>
  <c r="N17" i="27"/>
  <c r="I23" i="27"/>
  <c r="I25" i="27" s="1"/>
  <c r="J23" i="27"/>
  <c r="I24" i="27"/>
  <c r="J24" i="27"/>
  <c r="E5" i="33"/>
  <c r="H5" i="33"/>
  <c r="E6" i="33"/>
  <c r="H6" i="33"/>
  <c r="E7" i="33"/>
  <c r="H7" i="33"/>
  <c r="E8" i="33"/>
  <c r="H8" i="33"/>
  <c r="E9" i="33"/>
  <c r="H9" i="33"/>
  <c r="E10" i="33"/>
  <c r="H10" i="33"/>
  <c r="E11" i="33"/>
  <c r="H11" i="33"/>
  <c r="E12" i="33"/>
  <c r="H12" i="33"/>
  <c r="E13" i="33"/>
  <c r="H13" i="33"/>
  <c r="E14" i="33"/>
  <c r="H14" i="33"/>
  <c r="E15" i="33"/>
  <c r="H15" i="33"/>
  <c r="E16" i="33"/>
  <c r="H16" i="33"/>
  <c r="E17" i="33"/>
  <c r="H17" i="33"/>
  <c r="E18" i="33"/>
  <c r="H18" i="33"/>
  <c r="E19" i="33"/>
  <c r="H19" i="33"/>
  <c r="E20" i="33"/>
  <c r="H20" i="33"/>
  <c r="E21" i="33"/>
  <c r="H21" i="33"/>
  <c r="E22" i="33"/>
  <c r="H22" i="33"/>
  <c r="E23" i="33"/>
  <c r="H23" i="33"/>
  <c r="E24" i="33"/>
  <c r="H24" i="33"/>
  <c r="E25" i="33"/>
  <c r="H25" i="33"/>
  <c r="E26" i="33"/>
  <c r="H26" i="33"/>
  <c r="E27" i="33"/>
  <c r="H27" i="33"/>
  <c r="E28" i="33"/>
  <c r="H28" i="33"/>
  <c r="E29" i="33"/>
  <c r="H29" i="33"/>
  <c r="E30" i="33"/>
  <c r="H30" i="33"/>
  <c r="E31" i="33"/>
  <c r="H31" i="33"/>
  <c r="E32" i="33"/>
  <c r="H32" i="33"/>
  <c r="E34" i="33"/>
  <c r="H34" i="33"/>
  <c r="E5" i="29"/>
  <c r="H5" i="29"/>
  <c r="E6" i="29"/>
  <c r="H6" i="29"/>
  <c r="E7" i="29"/>
  <c r="H7" i="29"/>
  <c r="E8" i="29"/>
  <c r="H8" i="29"/>
  <c r="E9" i="29"/>
  <c r="H9" i="29"/>
  <c r="E10" i="29"/>
  <c r="H10" i="29"/>
  <c r="E11" i="29"/>
  <c r="H11" i="29"/>
  <c r="E12" i="29"/>
  <c r="H12" i="29"/>
  <c r="E13" i="29"/>
  <c r="H13" i="29"/>
  <c r="E14" i="29"/>
  <c r="H14" i="29"/>
  <c r="E15" i="29"/>
  <c r="H15" i="29"/>
  <c r="E16" i="29"/>
  <c r="H16" i="29"/>
  <c r="E17" i="29"/>
  <c r="H17" i="29"/>
  <c r="E18" i="29"/>
  <c r="H18" i="29"/>
  <c r="E19" i="29"/>
  <c r="H19" i="29"/>
  <c r="E20" i="29"/>
  <c r="H20" i="29"/>
  <c r="E21" i="29"/>
  <c r="H21" i="29"/>
  <c r="E22" i="29"/>
  <c r="H22" i="29"/>
  <c r="E23" i="29"/>
  <c r="H23" i="29"/>
  <c r="E24" i="29"/>
  <c r="H24" i="29"/>
  <c r="E25" i="29"/>
  <c r="H25" i="29"/>
  <c r="E26" i="29"/>
  <c r="H26" i="29"/>
  <c r="E27" i="29"/>
  <c r="H27" i="29"/>
  <c r="E28" i="29"/>
  <c r="H28" i="29"/>
  <c r="E29" i="29"/>
  <c r="H29" i="29"/>
  <c r="E30" i="29"/>
  <c r="H30" i="29"/>
  <c r="E31" i="29"/>
  <c r="H31" i="29"/>
  <c r="E4" i="9"/>
  <c r="J4" i="9"/>
  <c r="O4" i="9"/>
  <c r="E5" i="9"/>
  <c r="J5" i="9"/>
  <c r="P25" i="9" s="1"/>
  <c r="O5" i="9"/>
  <c r="E6" i="9"/>
  <c r="J6" i="9"/>
  <c r="O6" i="9"/>
  <c r="E7" i="9"/>
  <c r="J7" i="9"/>
  <c r="O7" i="9"/>
  <c r="E8" i="9"/>
  <c r="E9" i="9"/>
  <c r="J9" i="9"/>
  <c r="O9" i="9"/>
  <c r="E10" i="9"/>
  <c r="J10" i="9"/>
  <c r="O10" i="9"/>
  <c r="E11" i="9"/>
  <c r="J11" i="9"/>
  <c r="O11" i="9"/>
  <c r="E12" i="9"/>
  <c r="J12" i="9"/>
  <c r="O12" i="9"/>
  <c r="U17" i="9"/>
  <c r="R35" i="9" s="1"/>
  <c r="C33" i="9"/>
  <c r="D33" i="9"/>
  <c r="E33" i="9"/>
  <c r="F33" i="9"/>
  <c r="G33" i="9"/>
  <c r="H33" i="9"/>
  <c r="I33" i="9"/>
  <c r="J33" i="9"/>
  <c r="K33" i="9"/>
  <c r="L33" i="9"/>
  <c r="M33" i="9"/>
  <c r="N33" i="9"/>
  <c r="E42" i="9"/>
  <c r="J45" i="9"/>
  <c r="K45" i="9" s="1"/>
  <c r="J46" i="9"/>
  <c r="K46" i="9" s="1"/>
  <c r="O48" i="9"/>
  <c r="P48" i="9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3" i="37"/>
  <c r="H3" i="37" s="1"/>
  <c r="E4" i="37"/>
  <c r="H4" i="37" s="1"/>
  <c r="E5" i="37"/>
  <c r="H5" i="37" s="1"/>
  <c r="E6" i="37"/>
  <c r="H6" i="37" s="1"/>
  <c r="E7" i="37"/>
  <c r="H7" i="37" s="1"/>
  <c r="E12" i="37"/>
  <c r="E13" i="37"/>
  <c r="C14" i="37"/>
  <c r="E14" i="37" s="1"/>
  <c r="E16" i="37"/>
  <c r="C7" i="35"/>
  <c r="C11" i="35" s="1"/>
  <c r="D7" i="35"/>
  <c r="D11" i="35" s="1"/>
  <c r="E7" i="35"/>
  <c r="E11" i="35" s="1"/>
  <c r="F7" i="35"/>
  <c r="F11" i="35" s="1"/>
  <c r="G7" i="35"/>
  <c r="G11" i="35" s="1"/>
  <c r="J15" i="35"/>
  <c r="D20" i="35"/>
  <c r="J25" i="35"/>
  <c r="F4" i="28"/>
  <c r="G4" i="28"/>
  <c r="I4" i="28" s="1"/>
  <c r="L4" i="28"/>
  <c r="O4" i="28"/>
  <c r="E5" i="28"/>
  <c r="F5" i="28" s="1"/>
  <c r="G5" i="28"/>
  <c r="H5" i="28"/>
  <c r="K5" i="28"/>
  <c r="L5" i="28" s="1"/>
  <c r="N5" i="28"/>
  <c r="O5" i="28" s="1"/>
  <c r="E6" i="28"/>
  <c r="F6" i="28" s="1"/>
  <c r="G6" i="28"/>
  <c r="H6" i="28"/>
  <c r="K6" i="28"/>
  <c r="L6" i="28" s="1"/>
  <c r="N6" i="28"/>
  <c r="O6" i="28" s="1"/>
  <c r="E7" i="28"/>
  <c r="F7" i="28" s="1"/>
  <c r="G7" i="28"/>
  <c r="H7" i="28"/>
  <c r="K7" i="28"/>
  <c r="L7" i="28" s="1"/>
  <c r="N7" i="28"/>
  <c r="O7" i="28" s="1"/>
  <c r="E8" i="28"/>
  <c r="F8" i="28" s="1"/>
  <c r="G8" i="28"/>
  <c r="I8" i="28" s="1"/>
  <c r="H8" i="28"/>
  <c r="K8" i="28"/>
  <c r="L8" i="28"/>
  <c r="N8" i="28"/>
  <c r="O8" i="28" s="1"/>
  <c r="E9" i="28"/>
  <c r="H9" i="28"/>
  <c r="I9" i="28" s="1"/>
  <c r="K9" i="28"/>
  <c r="N9" i="28"/>
  <c r="D11" i="28"/>
  <c r="F11" i="28" s="1"/>
  <c r="J11" i="28"/>
  <c r="L11" i="28" s="1"/>
  <c r="M11" i="28"/>
  <c r="O11" i="28" s="1"/>
  <c r="E12" i="28"/>
  <c r="F12" i="28" s="1"/>
  <c r="K12" i="28"/>
  <c r="L12" i="28" s="1"/>
  <c r="N12" i="28"/>
  <c r="O12" i="28" s="1"/>
  <c r="I17" i="28"/>
  <c r="H18" i="28"/>
  <c r="I18" i="28" s="1"/>
  <c r="H19" i="28"/>
  <c r="I19" i="28" s="1"/>
  <c r="H20" i="28"/>
  <c r="I20" i="28" s="1"/>
  <c r="H21" i="28"/>
  <c r="I21" i="28" s="1"/>
  <c r="H22" i="28"/>
  <c r="I22" i="28" s="1"/>
  <c r="C26" i="28"/>
  <c r="C27" i="28"/>
  <c r="J27" i="28"/>
  <c r="C28" i="28"/>
  <c r="C29" i="28"/>
  <c r="C30" i="28"/>
  <c r="C31" i="28"/>
  <c r="J31" i="28"/>
  <c r="C32" i="28"/>
  <c r="C33" i="28"/>
  <c r="J6" i="3"/>
  <c r="K6" i="3" s="1"/>
  <c r="P6" i="3"/>
  <c r="Q6" i="3"/>
  <c r="R6" i="3"/>
  <c r="J7" i="3"/>
  <c r="K7" i="3" s="1"/>
  <c r="P7" i="3"/>
  <c r="Q7" i="3"/>
  <c r="R7" i="3"/>
  <c r="J8" i="3"/>
  <c r="K8" i="3" s="1"/>
  <c r="P8" i="3"/>
  <c r="Q8" i="3"/>
  <c r="R8" i="3"/>
  <c r="J9" i="3"/>
  <c r="K9" i="3" s="1"/>
  <c r="P9" i="3"/>
  <c r="Q9" i="3"/>
  <c r="R9" i="3"/>
  <c r="J10" i="3"/>
  <c r="K10" i="3" s="1"/>
  <c r="P10" i="3"/>
  <c r="Q10" i="3"/>
  <c r="R10" i="3"/>
  <c r="J11" i="3"/>
  <c r="K11" i="3" s="1"/>
  <c r="P11" i="3"/>
  <c r="Q11" i="3"/>
  <c r="R11" i="3"/>
  <c r="J14" i="3"/>
  <c r="K14" i="3" s="1"/>
  <c r="P14" i="3"/>
  <c r="Q14" i="3"/>
  <c r="R14" i="3"/>
  <c r="J15" i="3"/>
  <c r="K15" i="3" s="1"/>
  <c r="P15" i="3"/>
  <c r="Q15" i="3"/>
  <c r="R15" i="3"/>
  <c r="J16" i="3"/>
  <c r="K16" i="3" s="1"/>
  <c r="P16" i="3"/>
  <c r="Q16" i="3"/>
  <c r="R16" i="3"/>
  <c r="J19" i="3"/>
  <c r="K19" i="3" s="1"/>
  <c r="P19" i="3"/>
  <c r="Q19" i="3"/>
  <c r="Q22" i="3" s="1"/>
  <c r="K25" i="10" s="1"/>
  <c r="O25" i="10" s="1"/>
  <c r="R19" i="3"/>
  <c r="J20" i="3"/>
  <c r="K20" i="3" s="1"/>
  <c r="P20" i="3"/>
  <c r="Q20" i="3"/>
  <c r="R20" i="3"/>
  <c r="J21" i="3"/>
  <c r="K21" i="3" s="1"/>
  <c r="P21" i="3"/>
  <c r="P22" i="3" s="1"/>
  <c r="Q21" i="3"/>
  <c r="R21" i="3"/>
  <c r="J24" i="3"/>
  <c r="K24" i="3" s="1"/>
  <c r="P24" i="3"/>
  <c r="Q24" i="3"/>
  <c r="R24" i="3"/>
  <c r="J25" i="3"/>
  <c r="K25" i="3"/>
  <c r="P25" i="3"/>
  <c r="Q25" i="3"/>
  <c r="R25" i="3"/>
  <c r="J26" i="3"/>
  <c r="K26" i="3" s="1"/>
  <c r="P26" i="3"/>
  <c r="Q26" i="3"/>
  <c r="R26" i="3"/>
  <c r="J27" i="3"/>
  <c r="K27" i="3" s="1"/>
  <c r="P27" i="3"/>
  <c r="P32" i="3" s="1"/>
  <c r="K12" i="10" s="1"/>
  <c r="R27" i="3"/>
  <c r="J28" i="3"/>
  <c r="K28" i="3" s="1"/>
  <c r="P28" i="3"/>
  <c r="R28" i="3"/>
  <c r="M30" i="3"/>
  <c r="M31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/>
  <c r="J41" i="3"/>
  <c r="K41" i="3" s="1"/>
  <c r="J42" i="3"/>
  <c r="K42" i="3" s="1"/>
  <c r="J43" i="3"/>
  <c r="K43" i="3" s="1"/>
  <c r="J44" i="3"/>
  <c r="K44" i="3" s="1"/>
  <c r="J45" i="3"/>
  <c r="K45" i="3" s="1"/>
  <c r="J48" i="3"/>
  <c r="K48" i="3" s="1"/>
  <c r="J49" i="3"/>
  <c r="K49" i="3" s="1"/>
  <c r="J50" i="3"/>
  <c r="K50" i="3" s="1"/>
  <c r="J51" i="3"/>
  <c r="K51" i="3" s="1"/>
  <c r="J52" i="3"/>
  <c r="K52" i="3" s="1"/>
  <c r="J54" i="3"/>
  <c r="K54" i="3" s="1"/>
  <c r="J55" i="3"/>
  <c r="K55" i="3" s="1"/>
  <c r="J56" i="3"/>
  <c r="K56" i="3" s="1"/>
  <c r="J57" i="3"/>
  <c r="K57" i="3" s="1"/>
  <c r="P64" i="3"/>
  <c r="P65" i="3"/>
  <c r="P66" i="3"/>
  <c r="P67" i="3"/>
  <c r="P68" i="3"/>
  <c r="P69" i="3"/>
  <c r="P70" i="3"/>
  <c r="P73" i="3"/>
  <c r="Q73" i="3"/>
  <c r="P74" i="3"/>
  <c r="Q74" i="3"/>
  <c r="P75" i="3"/>
  <c r="Q75" i="3"/>
  <c r="P76" i="3"/>
  <c r="Q76" i="3"/>
  <c r="P77" i="3"/>
  <c r="Q77" i="3"/>
  <c r="P82" i="3"/>
  <c r="Q82" i="3"/>
  <c r="Q84" i="3" s="1"/>
  <c r="R84" i="3" s="1"/>
  <c r="P83" i="3"/>
  <c r="Q83" i="3"/>
  <c r="C9" i="34"/>
  <c r="C13" i="34" s="1"/>
  <c r="D9" i="34"/>
  <c r="E9" i="34"/>
  <c r="E13" i="34" s="1"/>
  <c r="F9" i="34"/>
  <c r="F13" i="34" s="1"/>
  <c r="G9" i="34"/>
  <c r="G13" i="34" s="1"/>
  <c r="H9" i="34"/>
  <c r="H13" i="34" s="1"/>
  <c r="D13" i="34"/>
  <c r="G3" i="32"/>
  <c r="H3" i="32" s="1"/>
  <c r="J3" i="32" s="1"/>
  <c r="G5" i="32"/>
  <c r="H5" i="32" s="1"/>
  <c r="J5" i="32" s="1"/>
  <c r="G6" i="32"/>
  <c r="H6" i="32" s="1"/>
  <c r="J6" i="32" s="1"/>
  <c r="G7" i="32"/>
  <c r="H7" i="32" s="1"/>
  <c r="J7" i="32" s="1"/>
  <c r="G8" i="32"/>
  <c r="H8" i="32" s="1"/>
  <c r="J8" i="32" s="1"/>
  <c r="G9" i="32"/>
  <c r="J9" i="32"/>
  <c r="J10" i="32"/>
  <c r="J11" i="32"/>
  <c r="G15" i="32"/>
  <c r="H15" i="32" s="1"/>
  <c r="J15" i="32" s="1"/>
  <c r="G16" i="32"/>
  <c r="H16" i="32" s="1"/>
  <c r="J16" i="32" s="1"/>
  <c r="G17" i="32"/>
  <c r="J17" i="32"/>
  <c r="G18" i="32"/>
  <c r="J18" i="32"/>
  <c r="G19" i="32"/>
  <c r="J19" i="32"/>
  <c r="J20" i="32"/>
  <c r="G22" i="32"/>
  <c r="H22" i="32"/>
  <c r="J22" i="32" s="1"/>
  <c r="G23" i="32"/>
  <c r="H23" i="32" s="1"/>
  <c r="J23" i="32" s="1"/>
  <c r="G26" i="32"/>
  <c r="H26" i="32" s="1"/>
  <c r="J26" i="32" s="1"/>
  <c r="G27" i="32"/>
  <c r="H27" i="32" s="1"/>
  <c r="J27" i="32" s="1"/>
  <c r="J28" i="32"/>
  <c r="G29" i="32"/>
  <c r="J29" i="32"/>
  <c r="G30" i="32"/>
  <c r="J30" i="32"/>
  <c r="G31" i="32"/>
  <c r="J31" i="32"/>
  <c r="G33" i="32"/>
  <c r="H33" i="32" s="1"/>
  <c r="J33" i="32" s="1"/>
  <c r="G34" i="32"/>
  <c r="H34" i="32" s="1"/>
  <c r="J34" i="32" s="1"/>
  <c r="G37" i="32"/>
  <c r="H37" i="32" s="1"/>
  <c r="J37" i="32" s="1"/>
  <c r="G38" i="32"/>
  <c r="H38" i="32" s="1"/>
  <c r="J38" i="32" s="1"/>
  <c r="G39" i="32"/>
  <c r="J39" i="32"/>
  <c r="G40" i="32"/>
  <c r="J40" i="32"/>
  <c r="G41" i="32"/>
  <c r="J41" i="32"/>
  <c r="G42" i="32"/>
  <c r="J42" i="32"/>
  <c r="G44" i="32"/>
  <c r="H44" i="32" s="1"/>
  <c r="J44" i="32" s="1"/>
  <c r="G45" i="32"/>
  <c r="H45" i="32" s="1"/>
  <c r="J45" i="32" s="1"/>
  <c r="G49" i="32"/>
  <c r="H49" i="32" s="1"/>
  <c r="J49" i="32" s="1"/>
  <c r="G50" i="32"/>
  <c r="H50" i="32"/>
  <c r="J50" i="32" s="1"/>
  <c r="G51" i="32"/>
  <c r="H51" i="32" s="1"/>
  <c r="J51" i="32" s="1"/>
  <c r="G52" i="32"/>
  <c r="H52" i="32" s="1"/>
  <c r="J52" i="32" s="1"/>
  <c r="G53" i="32"/>
  <c r="H53" i="32" s="1"/>
  <c r="J53" i="32" s="1"/>
  <c r="G54" i="32"/>
  <c r="H54" i="32" s="1"/>
  <c r="J54" i="32" s="1"/>
  <c r="G55" i="32"/>
  <c r="H55" i="32" s="1"/>
  <c r="J55" i="32" s="1"/>
  <c r="G56" i="32"/>
  <c r="H56" i="32"/>
  <c r="J56" i="32" s="1"/>
  <c r="G57" i="32"/>
  <c r="H57" i="32" s="1"/>
  <c r="J57" i="32" s="1"/>
  <c r="G58" i="32"/>
  <c r="H58" i="32" s="1"/>
  <c r="J58" i="32" s="1"/>
  <c r="G60" i="32"/>
  <c r="H60" i="32" s="1"/>
  <c r="J60" i="32" s="1"/>
  <c r="G61" i="32"/>
  <c r="H61" i="32" s="1"/>
  <c r="J61" i="32" s="1"/>
  <c r="G68" i="32"/>
  <c r="H68" i="32" s="1"/>
  <c r="J68" i="32" s="1"/>
  <c r="H69" i="32"/>
  <c r="J69" i="32" s="1"/>
  <c r="G70" i="32"/>
  <c r="H70" i="32" s="1"/>
  <c r="J70" i="32" s="1"/>
  <c r="E76" i="32"/>
  <c r="E77" i="32"/>
  <c r="E79" i="32"/>
  <c r="E80" i="32"/>
  <c r="E84" i="32"/>
  <c r="E86" i="32"/>
  <c r="C97" i="32"/>
  <c r="D97" i="32"/>
  <c r="E97" i="32"/>
  <c r="C107" i="32"/>
  <c r="C109" i="32" s="1"/>
  <c r="D107" i="32"/>
  <c r="D109" i="32" s="1"/>
  <c r="E107" i="32"/>
  <c r="E109" i="32" s="1"/>
  <c r="H60" i="17"/>
  <c r="H3" i="17" s="1"/>
  <c r="H64" i="17"/>
  <c r="H4" i="17" s="1"/>
  <c r="D47" i="10"/>
  <c r="D48" i="10"/>
  <c r="D120" i="10"/>
  <c r="D121" i="10" s="1"/>
  <c r="D76" i="10"/>
  <c r="D79" i="10"/>
  <c r="D82" i="10"/>
  <c r="D57" i="12"/>
  <c r="E57" i="12" s="1"/>
  <c r="D58" i="12"/>
  <c r="E58" i="12" s="1"/>
  <c r="F69" i="12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42" i="38"/>
  <c r="G34" i="38"/>
  <c r="G35" i="38"/>
  <c r="G36" i="38"/>
  <c r="G37" i="38"/>
  <c r="G38" i="38"/>
  <c r="G39" i="38"/>
  <c r="G44" i="38"/>
  <c r="G43" i="38"/>
  <c r="G40" i="38"/>
  <c r="G45" i="38"/>
  <c r="G41" i="38"/>
  <c r="G46" i="38"/>
  <c r="G47" i="38"/>
  <c r="G50" i="38"/>
  <c r="G51" i="38"/>
  <c r="G52" i="38"/>
  <c r="G53" i="38"/>
  <c r="G54" i="38"/>
  <c r="H8" i="2"/>
  <c r="I8" i="2"/>
  <c r="L8" i="2" s="1"/>
  <c r="H10" i="2"/>
  <c r="I10" i="2"/>
  <c r="H11" i="2"/>
  <c r="I11" i="2"/>
  <c r="L11" i="2" s="1"/>
  <c r="H13" i="2"/>
  <c r="I13" i="2"/>
  <c r="L13" i="2" s="1"/>
  <c r="H15" i="2"/>
  <c r="I15" i="2"/>
  <c r="L15" i="2" s="1"/>
  <c r="H16" i="2"/>
  <c r="I16" i="2"/>
  <c r="L16" i="2"/>
  <c r="H18" i="2"/>
  <c r="J18" i="2" s="1"/>
  <c r="I18" i="2"/>
  <c r="L18" i="2" s="1"/>
  <c r="H19" i="2"/>
  <c r="I19" i="2"/>
  <c r="L19" i="2"/>
  <c r="H21" i="2"/>
  <c r="J21" i="2" s="1"/>
  <c r="I21" i="2"/>
  <c r="L21" i="2" s="1"/>
  <c r="H23" i="2"/>
  <c r="I23" i="2"/>
  <c r="H25" i="2"/>
  <c r="I25" i="2"/>
  <c r="L25" i="2" s="1"/>
  <c r="H27" i="2"/>
  <c r="I27" i="2"/>
  <c r="H28" i="2"/>
  <c r="I28" i="2"/>
  <c r="L28" i="2" s="1"/>
  <c r="K28" i="2"/>
  <c r="H29" i="2"/>
  <c r="I29" i="2"/>
  <c r="K29" i="2"/>
  <c r="H31" i="2"/>
  <c r="I31" i="2"/>
  <c r="K31" i="2"/>
  <c r="H33" i="2"/>
  <c r="I33" i="2"/>
  <c r="K33" i="2"/>
  <c r="H37" i="2"/>
  <c r="I37" i="2"/>
  <c r="L37" i="2" s="1"/>
  <c r="H38" i="2"/>
  <c r="I38" i="2"/>
  <c r="L38" i="2" s="1"/>
  <c r="J38" i="2"/>
  <c r="H40" i="2"/>
  <c r="I40" i="2"/>
  <c r="L40" i="2" s="1"/>
  <c r="H41" i="2"/>
  <c r="I41" i="2"/>
  <c r="J41" i="2" s="1"/>
  <c r="H44" i="2"/>
  <c r="I44" i="2"/>
  <c r="H47" i="2"/>
  <c r="I47" i="2"/>
  <c r="L47" i="2" s="1"/>
  <c r="K47" i="2"/>
  <c r="H49" i="2"/>
  <c r="I49" i="2"/>
  <c r="K49" i="2"/>
  <c r="H52" i="2"/>
  <c r="I52" i="2"/>
  <c r="J52" i="2"/>
  <c r="K52" i="2"/>
  <c r="H53" i="2"/>
  <c r="I53" i="2"/>
  <c r="K53" i="2"/>
  <c r="H57" i="2"/>
  <c r="I57" i="2"/>
  <c r="J57" i="2"/>
  <c r="L57" i="2"/>
  <c r="H58" i="2"/>
  <c r="J58" i="2" s="1"/>
  <c r="I58" i="2"/>
  <c r="L58" i="2" s="1"/>
  <c r="H59" i="2"/>
  <c r="I59" i="2"/>
  <c r="L59" i="2" s="1"/>
  <c r="H60" i="2"/>
  <c r="I60" i="2"/>
  <c r="L60" i="2" s="1"/>
  <c r="H62" i="2"/>
  <c r="I62" i="2"/>
  <c r="L62" i="2" s="1"/>
  <c r="H63" i="2"/>
  <c r="J63" i="2" s="1"/>
  <c r="I63" i="2"/>
  <c r="H64" i="2"/>
  <c r="J64" i="2" s="1"/>
  <c r="I64" i="2"/>
  <c r="L64" i="2" s="1"/>
  <c r="H65" i="2"/>
  <c r="I65" i="2"/>
  <c r="J65" i="2" s="1"/>
  <c r="H66" i="2"/>
  <c r="I66" i="2"/>
  <c r="L66" i="2" s="1"/>
  <c r="H67" i="2"/>
  <c r="J67" i="2" s="1"/>
  <c r="I67" i="2"/>
  <c r="H68" i="2"/>
  <c r="I68" i="2"/>
  <c r="L68" i="2" s="1"/>
  <c r="H70" i="2"/>
  <c r="I70" i="2"/>
  <c r="K70" i="2"/>
  <c r="H74" i="2"/>
  <c r="I74" i="2"/>
  <c r="K74" i="2"/>
  <c r="H75" i="2"/>
  <c r="I75" i="2"/>
  <c r="K75" i="2"/>
  <c r="H77" i="2"/>
  <c r="I77" i="2"/>
  <c r="K77" i="2"/>
  <c r="H78" i="2"/>
  <c r="I78" i="2"/>
  <c r="K78" i="2"/>
  <c r="H79" i="2"/>
  <c r="I79" i="2"/>
  <c r="J79" i="2" s="1"/>
  <c r="K79" i="2"/>
  <c r="H83" i="2"/>
  <c r="I83" i="2"/>
  <c r="L83" i="2" s="1"/>
  <c r="H84" i="2"/>
  <c r="J84" i="2" s="1"/>
  <c r="I84" i="2"/>
  <c r="L84" i="2" s="1"/>
  <c r="H85" i="2"/>
  <c r="J85" i="2" s="1"/>
  <c r="I85" i="2"/>
  <c r="L85" i="2" s="1"/>
  <c r="H86" i="2"/>
  <c r="I86" i="2"/>
  <c r="H87" i="2"/>
  <c r="I87" i="2"/>
  <c r="L87" i="2" s="1"/>
  <c r="H88" i="2"/>
  <c r="I88" i="2"/>
  <c r="H90" i="2"/>
  <c r="J90" i="2" s="1"/>
  <c r="I90" i="2"/>
  <c r="H91" i="2"/>
  <c r="I91" i="2"/>
  <c r="L91" i="2" s="1"/>
  <c r="H95" i="2"/>
  <c r="I95" i="2"/>
  <c r="L95" i="2" s="1"/>
  <c r="H96" i="2"/>
  <c r="I96" i="2"/>
  <c r="I99" i="2"/>
  <c r="H100" i="2"/>
  <c r="H99" i="2" s="1"/>
  <c r="H101" i="2"/>
  <c r="H105" i="2"/>
  <c r="H104" i="2" s="1"/>
  <c r="I105" i="2"/>
  <c r="I104" i="2" s="1"/>
  <c r="H109" i="2"/>
  <c r="H108" i="2" s="1"/>
  <c r="I109" i="2"/>
  <c r="J109" i="2" s="1"/>
  <c r="G8" i="1"/>
  <c r="H8" i="1" s="1"/>
  <c r="G9" i="1"/>
  <c r="H9" i="1" s="1"/>
  <c r="G12" i="1"/>
  <c r="H12" i="1" s="1"/>
  <c r="G14" i="1"/>
  <c r="H14" i="1"/>
  <c r="G15" i="1"/>
  <c r="H15" i="1" s="1"/>
  <c r="G17" i="1"/>
  <c r="H17" i="1" s="1"/>
  <c r="G19" i="1"/>
  <c r="H19" i="1" s="1"/>
  <c r="G21" i="1"/>
  <c r="H21" i="1" s="1"/>
  <c r="G23" i="1"/>
  <c r="H23" i="1" s="1"/>
  <c r="G24" i="1"/>
  <c r="H24" i="1" s="1"/>
  <c r="G25" i="1"/>
  <c r="H25" i="1" s="1"/>
  <c r="G26" i="1"/>
  <c r="H26" i="1" s="1"/>
  <c r="G28" i="1"/>
  <c r="H28" i="1" s="1"/>
  <c r="G30" i="1"/>
  <c r="H30" i="1" s="1"/>
  <c r="G32" i="1"/>
  <c r="G38" i="1"/>
  <c r="H38" i="1" s="1"/>
  <c r="G40" i="1"/>
  <c r="H40" i="1" s="1"/>
  <c r="G42" i="1"/>
  <c r="H42" i="1" s="1"/>
  <c r="G44" i="1"/>
  <c r="H44" i="1" s="1"/>
  <c r="G46" i="1"/>
  <c r="H46" i="1" s="1"/>
  <c r="G48" i="1"/>
  <c r="G49" i="1"/>
  <c r="G50" i="1"/>
  <c r="G52" i="1"/>
  <c r="H52" i="1" s="1"/>
  <c r="G54" i="1"/>
  <c r="H54" i="1" s="1"/>
  <c r="G56" i="1"/>
  <c r="H56" i="1" s="1"/>
  <c r="G57" i="1"/>
  <c r="H57" i="1" s="1"/>
  <c r="G59" i="1"/>
  <c r="H59" i="1" s="1"/>
  <c r="G60" i="1"/>
  <c r="H60" i="1" s="1"/>
  <c r="G62" i="1"/>
  <c r="H62" i="1" s="1"/>
  <c r="G64" i="1"/>
  <c r="K68" i="1"/>
  <c r="G69" i="1"/>
  <c r="G70" i="1"/>
  <c r="G71" i="1"/>
  <c r="G72" i="1"/>
  <c r="G73" i="1"/>
  <c r="G75" i="1"/>
  <c r="G77" i="1"/>
  <c r="G78" i="1"/>
  <c r="G80" i="1"/>
  <c r="G81" i="1"/>
  <c r="G83" i="1"/>
  <c r="H83" i="1" s="1"/>
  <c r="G84" i="1"/>
  <c r="H84" i="1" s="1"/>
  <c r="G85" i="1"/>
  <c r="H85" i="1" s="1"/>
  <c r="G86" i="1"/>
  <c r="H86" i="1" s="1"/>
  <c r="G87" i="1"/>
  <c r="H87" i="1" s="1"/>
  <c r="G89" i="1"/>
  <c r="H89" i="1" s="1"/>
  <c r="G90" i="1"/>
  <c r="H90" i="1" s="1"/>
  <c r="G91" i="1"/>
  <c r="H91" i="1" s="1"/>
  <c r="G92" i="1"/>
  <c r="H92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9" i="1"/>
  <c r="H109" i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8" i="1"/>
  <c r="H118" i="1"/>
  <c r="G120" i="1"/>
  <c r="H120" i="1" s="1"/>
  <c r="G121" i="1"/>
  <c r="H121" i="1" s="1"/>
  <c r="G124" i="1"/>
  <c r="G126" i="1"/>
  <c r="H126" i="1" s="1"/>
  <c r="G131" i="1"/>
  <c r="H131" i="1"/>
  <c r="G132" i="1"/>
  <c r="G133" i="1"/>
  <c r="H133" i="1" s="1"/>
  <c r="G134" i="1"/>
  <c r="H134" i="1" s="1"/>
  <c r="G138" i="1"/>
  <c r="G139" i="1"/>
  <c r="G141" i="1"/>
  <c r="J141" i="1" s="1"/>
  <c r="G143" i="1"/>
  <c r="J143" i="1" s="1"/>
  <c r="G144" i="1"/>
  <c r="G145" i="1"/>
  <c r="G146" i="1"/>
  <c r="G147" i="1"/>
  <c r="G148" i="1"/>
  <c r="G149" i="1"/>
  <c r="J149" i="1" s="1"/>
  <c r="G151" i="1"/>
  <c r="G152" i="1"/>
  <c r="G153" i="1"/>
  <c r="G154" i="1"/>
  <c r="G155" i="1"/>
  <c r="G156" i="1"/>
  <c r="G158" i="1"/>
  <c r="G159" i="1"/>
  <c r="G160" i="1"/>
  <c r="G162" i="1"/>
  <c r="G163" i="1"/>
  <c r="G164" i="1"/>
  <c r="G165" i="1"/>
  <c r="G166" i="1"/>
  <c r="G167" i="1"/>
  <c r="G169" i="1"/>
  <c r="J169" i="1" s="1"/>
  <c r="G170" i="1"/>
  <c r="G171" i="1"/>
  <c r="G172" i="1"/>
  <c r="G177" i="1"/>
  <c r="G178" i="1"/>
  <c r="H178" i="1" s="1"/>
  <c r="G179" i="1"/>
  <c r="H179" i="1" s="1"/>
  <c r="G187" i="1"/>
  <c r="G188" i="1"/>
  <c r="G189" i="1"/>
  <c r="G191" i="1"/>
  <c r="G192" i="1"/>
  <c r="G197" i="1"/>
  <c r="J197" i="1" s="1"/>
  <c r="G198" i="1"/>
  <c r="G199" i="1"/>
  <c r="G200" i="1"/>
  <c r="G201" i="1"/>
  <c r="G202" i="1"/>
  <c r="G203" i="1"/>
  <c r="G205" i="1"/>
  <c r="G210" i="1"/>
  <c r="G211" i="1"/>
  <c r="H211" i="1" s="1"/>
  <c r="G214" i="1"/>
  <c r="J214" i="1" s="1"/>
  <c r="G215" i="1"/>
  <c r="J215" i="1" s="1"/>
  <c r="G216" i="1"/>
  <c r="J216" i="1" s="1"/>
  <c r="E217" i="1"/>
  <c r="G217" i="1" s="1"/>
  <c r="J217" i="1" s="1"/>
  <c r="G218" i="1"/>
  <c r="J218" i="1"/>
  <c r="J219" i="1"/>
  <c r="J220" i="1"/>
  <c r="J222" i="1"/>
  <c r="G228" i="1"/>
  <c r="J228" i="1" s="1"/>
  <c r="G229" i="1"/>
  <c r="J229" i="1" s="1"/>
  <c r="J230" i="1"/>
  <c r="J231" i="1"/>
  <c r="G233" i="1"/>
  <c r="J233" i="1" s="1"/>
  <c r="G236" i="1"/>
  <c r="G237" i="1"/>
  <c r="G238" i="1"/>
  <c r="G239" i="1"/>
  <c r="G242" i="1"/>
  <c r="H242" i="1" s="1"/>
  <c r="G243" i="1"/>
  <c r="G248" i="1"/>
  <c r="G249" i="1"/>
  <c r="G250" i="1"/>
  <c r="F252" i="1"/>
  <c r="G252" i="1" s="1"/>
  <c r="G255" i="1"/>
  <c r="G256" i="1"/>
  <c r="G257" i="1"/>
  <c r="G259" i="1"/>
  <c r="G260" i="1"/>
  <c r="G261" i="1"/>
  <c r="G263" i="1"/>
  <c r="G264" i="1"/>
  <c r="G265" i="1"/>
  <c r="G266" i="1"/>
  <c r="F268" i="1"/>
  <c r="G268" i="1" s="1"/>
  <c r="G270" i="1"/>
  <c r="G273" i="1"/>
  <c r="G274" i="1"/>
  <c r="G275" i="1"/>
  <c r="G276" i="1"/>
  <c r="E279" i="1"/>
  <c r="G279" i="1" s="1"/>
  <c r="G281" i="1"/>
  <c r="G283" i="1"/>
  <c r="G284" i="1"/>
  <c r="G285" i="1"/>
  <c r="G286" i="1"/>
  <c r="G288" i="1"/>
  <c r="G289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10" i="1"/>
  <c r="G312" i="1"/>
  <c r="G314" i="1"/>
  <c r="G316" i="1"/>
  <c r="G318" i="1"/>
  <c r="G320" i="1"/>
  <c r="E325" i="1"/>
  <c r="G325" i="1" s="1"/>
  <c r="E326" i="1"/>
  <c r="G326" i="1" s="1"/>
  <c r="E327" i="1"/>
  <c r="G327" i="1" s="1"/>
  <c r="G332" i="1"/>
  <c r="G337" i="1"/>
  <c r="G345" i="1"/>
  <c r="H345" i="1" s="1"/>
  <c r="G347" i="1"/>
  <c r="H347" i="1" s="1"/>
  <c r="G349" i="1"/>
  <c r="G351" i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5" i="1"/>
  <c r="H365" i="1" s="1"/>
  <c r="G373" i="1"/>
  <c r="G375" i="1"/>
  <c r="G376" i="1"/>
  <c r="G377" i="1"/>
  <c r="G378" i="1"/>
  <c r="G379" i="1"/>
  <c r="D386" i="1"/>
  <c r="E386" i="1" s="1"/>
  <c r="D387" i="1"/>
  <c r="E387" i="1" s="1"/>
  <c r="L67" i="2"/>
  <c r="L63" i="2"/>
  <c r="Q20" i="9"/>
  <c r="E50" i="16"/>
  <c r="E44" i="16"/>
  <c r="E42" i="16"/>
  <c r="E40" i="16"/>
  <c r="E51" i="16"/>
  <c r="E49" i="16"/>
  <c r="E47" i="16"/>
  <c r="E41" i="16"/>
  <c r="E86" i="30"/>
  <c r="E14" i="30"/>
  <c r="J95" i="2" l="1"/>
  <c r="F10" i="14"/>
  <c r="J87" i="2"/>
  <c r="H35" i="33"/>
  <c r="J62" i="2"/>
  <c r="J31" i="2"/>
  <c r="G63" i="10"/>
  <c r="G61" i="10"/>
  <c r="E21" i="30"/>
  <c r="Q78" i="3"/>
  <c r="R78" i="3" s="1"/>
  <c r="O24" i="9"/>
  <c r="E45" i="30"/>
  <c r="E51" i="30"/>
  <c r="J70" i="2"/>
  <c r="J37" i="2"/>
  <c r="J25" i="2"/>
  <c r="Q17" i="3"/>
  <c r="K27" i="10" s="1"/>
  <c r="O27" i="10" s="1"/>
  <c r="Q12" i="3"/>
  <c r="L46" i="9"/>
  <c r="G175" i="1"/>
  <c r="G330" i="1"/>
  <c r="J44" i="2"/>
  <c r="R17" i="3"/>
  <c r="R31" i="3" s="1"/>
  <c r="E17" i="37"/>
  <c r="P28" i="9"/>
  <c r="E59" i="30"/>
  <c r="J23" i="2"/>
  <c r="P17" i="3"/>
  <c r="L45" i="9"/>
  <c r="N13" i="4"/>
  <c r="E25" i="26"/>
  <c r="F27" i="14"/>
  <c r="G3" i="48"/>
  <c r="J66" i="2"/>
  <c r="E32" i="29"/>
  <c r="E8" i="24"/>
  <c r="G308" i="1"/>
  <c r="J77" i="2"/>
  <c r="D45" i="14"/>
  <c r="D27" i="14"/>
  <c r="J83" i="2"/>
  <c r="Q17" i="9"/>
  <c r="E65" i="30"/>
  <c r="G95" i="1"/>
  <c r="E73" i="30"/>
  <c r="J53" i="2"/>
  <c r="J40" i="2"/>
  <c r="J33" i="2"/>
  <c r="J10" i="2"/>
  <c r="Q29" i="3"/>
  <c r="K26" i="10" s="1"/>
  <c r="N26" i="10" s="1"/>
  <c r="R22" i="3"/>
  <c r="E13" i="18"/>
  <c r="L24" i="4"/>
  <c r="F71" i="46"/>
  <c r="C23" i="52"/>
  <c r="E60" i="56"/>
  <c r="C62" i="56"/>
  <c r="E61" i="56"/>
  <c r="H30" i="54"/>
  <c r="G73" i="54"/>
  <c r="F73" i="54"/>
  <c r="I33" i="54"/>
  <c r="I54" i="54" s="1"/>
  <c r="H54" i="54"/>
  <c r="I3" i="54"/>
  <c r="I30" i="54" s="1"/>
  <c r="J33" i="39"/>
  <c r="K33" i="39" s="1"/>
  <c r="E15" i="52"/>
  <c r="C20" i="52"/>
  <c r="E20" i="52" s="1"/>
  <c r="F58" i="51"/>
  <c r="Q31" i="3"/>
  <c r="K24" i="10"/>
  <c r="O24" i="10" s="1"/>
  <c r="P29" i="9"/>
  <c r="H177" i="1"/>
  <c r="J47" i="2"/>
  <c r="J28" i="2"/>
  <c r="P84" i="3"/>
  <c r="P78" i="3"/>
  <c r="K47" i="3"/>
  <c r="O21" i="9"/>
  <c r="E26" i="20"/>
  <c r="F44" i="31"/>
  <c r="D19" i="14"/>
  <c r="R12" i="3"/>
  <c r="I7" i="28"/>
  <c r="O23" i="9"/>
  <c r="P17" i="9"/>
  <c r="Q31" i="9"/>
  <c r="N18" i="27"/>
  <c r="H18" i="27"/>
  <c r="E69" i="18"/>
  <c r="E28" i="18"/>
  <c r="H43" i="14"/>
  <c r="F80" i="40"/>
  <c r="C37" i="28"/>
  <c r="Q21" i="9"/>
  <c r="O30" i="9"/>
  <c r="J18" i="27"/>
  <c r="E39" i="16"/>
  <c r="F19" i="14"/>
  <c r="G80" i="40"/>
  <c r="L23" i="2"/>
  <c r="J91" i="2"/>
  <c r="J86" i="2"/>
  <c r="J74" i="2"/>
  <c r="J59" i="2"/>
  <c r="J49" i="2"/>
  <c r="J29" i="2"/>
  <c r="J19" i="2"/>
  <c r="J15" i="2"/>
  <c r="G16" i="34"/>
  <c r="P32" i="9"/>
  <c r="L18" i="27"/>
  <c r="E13" i="20"/>
  <c r="E83" i="18"/>
  <c r="F45" i="14"/>
  <c r="J13" i="2"/>
  <c r="K3" i="2"/>
  <c r="E57" i="20"/>
  <c r="F57" i="20" s="1"/>
  <c r="E25" i="25"/>
  <c r="F34" i="14"/>
  <c r="E48" i="16"/>
  <c r="G371" i="1"/>
  <c r="G185" i="1"/>
  <c r="H82" i="2"/>
  <c r="J27" i="2"/>
  <c r="L10" i="2"/>
  <c r="G55" i="38"/>
  <c r="H32" i="29"/>
  <c r="A32" i="29" s="1"/>
  <c r="B32" i="29" s="1"/>
  <c r="E35" i="33"/>
  <c r="A35" i="33" s="1"/>
  <c r="B35" i="33" s="1"/>
  <c r="F39" i="20"/>
  <c r="L46" i="31"/>
  <c r="J32" i="35"/>
  <c r="G6" i="1"/>
  <c r="H5" i="2"/>
  <c r="G48" i="38"/>
  <c r="G381" i="1"/>
  <c r="Q18" i="9"/>
  <c r="P29" i="3"/>
  <c r="E41" i="18"/>
  <c r="E45" i="16"/>
  <c r="J8" i="2"/>
  <c r="E43" i="16"/>
  <c r="E46" i="16"/>
  <c r="Q30" i="9"/>
  <c r="G195" i="1"/>
  <c r="G129" i="1"/>
  <c r="I94" i="2"/>
  <c r="J75" i="2"/>
  <c r="J68" i="2"/>
  <c r="J60" i="2"/>
  <c r="L27" i="2"/>
  <c r="J16" i="2"/>
  <c r="J11" i="2"/>
  <c r="J63" i="32"/>
  <c r="R29" i="3"/>
  <c r="P12" i="3"/>
  <c r="E17" i="36"/>
  <c r="E34" i="20"/>
  <c r="F48" i="31"/>
  <c r="E55" i="18"/>
  <c r="E3" i="23"/>
  <c r="K2" i="4"/>
  <c r="E12" i="51"/>
  <c r="G12" i="51" s="1"/>
  <c r="E25" i="51"/>
  <c r="G25" i="51" s="1"/>
  <c r="E8" i="51"/>
  <c r="G8" i="51" s="1"/>
  <c r="F10" i="50"/>
  <c r="H10" i="50" s="1"/>
  <c r="H3" i="50"/>
  <c r="F9" i="47"/>
  <c r="H9" i="47" s="1"/>
  <c r="H22" i="47" s="1"/>
  <c r="C28" i="49"/>
  <c r="E28" i="49" s="1"/>
  <c r="C31" i="49"/>
  <c r="E31" i="49" s="1"/>
  <c r="E8" i="49"/>
  <c r="I23" i="49"/>
  <c r="I24" i="49" s="1"/>
  <c r="C20" i="49" s="1"/>
  <c r="C22" i="49" s="1"/>
  <c r="E22" i="49" s="1"/>
  <c r="C10" i="49"/>
  <c r="E10" i="49" s="1"/>
  <c r="E18" i="49"/>
  <c r="F5" i="49"/>
  <c r="J2" i="49"/>
  <c r="F3" i="48"/>
  <c r="F8" i="48" s="1"/>
  <c r="C20" i="46"/>
  <c r="E20" i="46" s="1"/>
  <c r="C23" i="46"/>
  <c r="E23" i="46" s="1"/>
  <c r="F58" i="46"/>
  <c r="E15" i="46"/>
  <c r="M42" i="31"/>
  <c r="L44" i="31"/>
  <c r="K32" i="3"/>
  <c r="J195" i="1"/>
  <c r="F109" i="32"/>
  <c r="J47" i="32"/>
  <c r="J65" i="32" s="1"/>
  <c r="K5" i="3"/>
  <c r="K3" i="3" s="1"/>
  <c r="H11" i="35"/>
  <c r="E26" i="25"/>
  <c r="E27" i="25" s="1"/>
  <c r="K37" i="4"/>
  <c r="G323" i="1"/>
  <c r="J129" i="1"/>
  <c r="J72" i="32"/>
  <c r="L48" i="31"/>
  <c r="I37" i="4"/>
  <c r="P23" i="9"/>
  <c r="Q28" i="9"/>
  <c r="I82" i="2"/>
  <c r="J82" i="2" s="1"/>
  <c r="G356" i="1"/>
  <c r="G246" i="1"/>
  <c r="L29" i="2"/>
  <c r="M46" i="31"/>
  <c r="J43" i="31"/>
  <c r="E55" i="30"/>
  <c r="J24" i="4"/>
  <c r="L41" i="2"/>
  <c r="O29" i="9"/>
  <c r="P18" i="9"/>
  <c r="Q22" i="9"/>
  <c r="P34" i="9"/>
  <c r="G36" i="1"/>
  <c r="I108" i="2"/>
  <c r="J108" i="2" s="1"/>
  <c r="P24" i="9"/>
  <c r="E63" i="30"/>
  <c r="Q23" i="9"/>
  <c r="O18" i="9"/>
  <c r="O28" i="9"/>
  <c r="L86" i="2"/>
  <c r="I49" i="28"/>
  <c r="J49" i="28"/>
  <c r="Q29" i="9"/>
  <c r="O19" i="9"/>
  <c r="P19" i="9"/>
  <c r="O24" i="4"/>
  <c r="E42" i="30"/>
  <c r="O22" i="9"/>
  <c r="P27" i="9"/>
  <c r="Q32" i="9"/>
  <c r="I5" i="28"/>
  <c r="C5" i="28" s="1"/>
  <c r="O34" i="9"/>
  <c r="P30" i="9"/>
  <c r="O25" i="9"/>
  <c r="Q19" i="9"/>
  <c r="E69" i="30"/>
  <c r="E34" i="30"/>
  <c r="E55" i="16"/>
  <c r="E54" i="16"/>
  <c r="P21" i="9"/>
  <c r="Q26" i="9"/>
  <c r="O32" i="9"/>
  <c r="I5" i="2"/>
  <c r="I3" i="2" s="1"/>
  <c r="Q34" i="9"/>
  <c r="O31" i="9"/>
  <c r="Q25" i="9"/>
  <c r="P20" i="9"/>
  <c r="O17" i="9"/>
  <c r="J47" i="31"/>
  <c r="J42" i="31"/>
  <c r="E80" i="30"/>
  <c r="E18" i="30"/>
  <c r="K15" i="4"/>
  <c r="K13" i="4"/>
  <c r="K32" i="4" s="1"/>
  <c r="E28" i="30"/>
  <c r="E53" i="16"/>
  <c r="O26" i="9"/>
  <c r="P31" i="9"/>
  <c r="L65" i="2"/>
  <c r="L3" i="2" s="1"/>
  <c r="C3" i="1" s="1"/>
  <c r="H94" i="2"/>
  <c r="J94" i="2" s="1"/>
  <c r="P26" i="9"/>
  <c r="E89" i="30"/>
  <c r="E23" i="30"/>
  <c r="I50" i="28"/>
  <c r="J50" i="28"/>
  <c r="O27" i="9"/>
  <c r="E30" i="30"/>
  <c r="J51" i="28"/>
  <c r="G67" i="1"/>
  <c r="O20" i="9"/>
  <c r="Q24" i="9"/>
  <c r="Q27" i="9"/>
  <c r="P22" i="9"/>
  <c r="C7" i="30"/>
  <c r="C8" i="30" s="1"/>
  <c r="I48" i="28"/>
  <c r="J48" i="28"/>
  <c r="H32" i="10"/>
  <c r="D35" i="10" s="1"/>
  <c r="G802" i="43"/>
  <c r="G3" i="43" s="1"/>
  <c r="G19" i="43" s="1"/>
  <c r="D62" i="10"/>
  <c r="N32" i="4"/>
  <c r="N25" i="10"/>
  <c r="I52" i="28"/>
  <c r="I6" i="28"/>
  <c r="C6" i="28" s="1"/>
  <c r="H45" i="28"/>
  <c r="C8" i="28"/>
  <c r="O15" i="28"/>
  <c r="M9" i="28" s="1"/>
  <c r="O9" i="28" s="1"/>
  <c r="L15" i="28"/>
  <c r="J9" i="28" s="1"/>
  <c r="L9" i="28" s="1"/>
  <c r="C7" i="28"/>
  <c r="C4" i="28"/>
  <c r="C12" i="28"/>
  <c r="G52" i="28"/>
  <c r="F36" i="44"/>
  <c r="G36" i="44"/>
  <c r="G20" i="44"/>
  <c r="F20" i="44"/>
  <c r="H61" i="40"/>
  <c r="C11" i="28"/>
  <c r="F15" i="28"/>
  <c r="D9" i="28" s="1"/>
  <c r="F9" i="28" s="1"/>
  <c r="K45" i="28"/>
  <c r="G343" i="1"/>
  <c r="H3" i="1"/>
  <c r="B3" i="1" s="1"/>
  <c r="O26" i="10"/>
  <c r="N27" i="10"/>
  <c r="H10" i="10"/>
  <c r="M10" i="10" s="1"/>
  <c r="H8" i="10"/>
  <c r="M8" i="10" s="1"/>
  <c r="H12" i="10"/>
  <c r="M12" i="10" s="1"/>
  <c r="H7" i="10"/>
  <c r="D26" i="10" s="1"/>
  <c r="I30" i="40"/>
  <c r="H30" i="40"/>
  <c r="H13" i="10"/>
  <c r="N13" i="10" s="1"/>
  <c r="H11" i="10"/>
  <c r="H9" i="10"/>
  <c r="M9" i="10" s="1"/>
  <c r="I41" i="40"/>
  <c r="I61" i="40" s="1"/>
  <c r="E23" i="52" l="1"/>
  <c r="F23" i="52"/>
  <c r="C9" i="28"/>
  <c r="E62" i="56"/>
  <c r="C63" i="56"/>
  <c r="E63" i="56" s="1"/>
  <c r="H56" i="54"/>
  <c r="I56" i="54"/>
  <c r="D63" i="10"/>
  <c r="D34" i="10"/>
  <c r="O28" i="10"/>
  <c r="N24" i="10"/>
  <c r="N28" i="10" s="1"/>
  <c r="D39" i="10" s="1"/>
  <c r="K28" i="10"/>
  <c r="P35" i="9"/>
  <c r="Q35" i="9"/>
  <c r="J3" i="1"/>
  <c r="P31" i="3"/>
  <c r="K11" i="10" s="1"/>
  <c r="M11" i="10" s="1"/>
  <c r="H25" i="50"/>
  <c r="E37" i="49"/>
  <c r="E20" i="49"/>
  <c r="G3" i="1"/>
  <c r="A3" i="1" s="1"/>
  <c r="J52" i="28"/>
  <c r="E93" i="30"/>
  <c r="B4" i="1"/>
  <c r="O35" i="9"/>
  <c r="J5" i="2"/>
  <c r="H3" i="2"/>
  <c r="J3" i="2" s="1"/>
  <c r="H33" i="10"/>
  <c r="C15" i="28"/>
  <c r="M7" i="10"/>
  <c r="D41" i="10"/>
  <c r="H63" i="40"/>
  <c r="I63" i="40"/>
  <c r="E65" i="56" l="1"/>
  <c r="E66" i="56" s="1"/>
  <c r="J23" i="56" s="1"/>
  <c r="J26" i="56" s="1"/>
  <c r="J27" i="56" s="1"/>
  <c r="J28" i="56" s="1"/>
  <c r="D111" i="10"/>
  <c r="D67" i="10"/>
  <c r="D69" i="10" s="1"/>
  <c r="M14" i="10"/>
  <c r="D36" i="10" s="1"/>
  <c r="L14" i="10"/>
  <c r="D19" i="10" s="1"/>
  <c r="K14" i="10"/>
  <c r="K17" i="10" s="1"/>
  <c r="A3" i="2"/>
  <c r="D46" i="10" l="1"/>
  <c r="D113" i="10"/>
  <c r="D114" i="10" s="1"/>
  <c r="H17" i="10"/>
  <c r="D70" i="10"/>
  <c r="M17" i="10"/>
  <c r="D17" i="10"/>
  <c r="D18" i="10" s="1"/>
  <c r="G43" i="10" s="1"/>
  <c r="G45" i="10" s="1"/>
  <c r="D42" i="10"/>
  <c r="D43" i="10" s="1"/>
  <c r="D101" i="10" s="1"/>
  <c r="D102" i="10" s="1"/>
  <c r="D37" i="10"/>
  <c r="H16" i="10" s="1"/>
  <c r="D20" i="10" l="1"/>
  <c r="H43" i="10" s="1"/>
  <c r="H45" i="10" s="1"/>
  <c r="D53" i="10"/>
  <c r="D55" i="10" s="1"/>
  <c r="D56" i="10" s="1"/>
  <c r="G81" i="10" s="1"/>
  <c r="D45" i="10"/>
  <c r="D50" i="10" s="1"/>
  <c r="D95" i="10"/>
  <c r="D105" i="10"/>
  <c r="D107" i="10" s="1"/>
  <c r="D108" i="10" s="1"/>
  <c r="H18" i="10"/>
  <c r="D97" i="10" l="1"/>
  <c r="D98" i="10" s="1"/>
  <c r="D49" i="10"/>
  <c r="H81" i="10"/>
  <c r="H17" i="17"/>
  <c r="H29" i="17"/>
  <c r="H9" i="17"/>
  <c r="H37" i="17"/>
  <c r="J37" i="17" s="1"/>
  <c r="H16" i="17"/>
  <c r="H24" i="17"/>
  <c r="H30" i="17"/>
  <c r="J30" i="17" s="1"/>
  <c r="H34" i="17"/>
  <c r="H36" i="17"/>
  <c r="H15" i="17"/>
  <c r="H25" i="17"/>
  <c r="H39" i="17"/>
  <c r="H31" i="17"/>
  <c r="J31" i="17" s="1"/>
  <c r="H14" i="17"/>
  <c r="H22" i="17"/>
  <c r="H32" i="17"/>
  <c r="H40" i="17"/>
  <c r="H11" i="17"/>
  <c r="H21" i="17"/>
  <c r="H35" i="17"/>
  <c r="H27" i="17"/>
  <c r="H12" i="17"/>
  <c r="H20" i="17"/>
  <c r="H28" i="17"/>
  <c r="H38" i="17"/>
  <c r="H13" i="17"/>
  <c r="H557" i="17"/>
  <c r="H5" i="17" s="1"/>
  <c r="H1147" i="17"/>
  <c r="H6" i="17" s="1"/>
  <c r="H19" i="17"/>
  <c r="H33" i="17"/>
  <c r="H23" i="17"/>
  <c r="J23" i="17" s="1"/>
  <c r="H10" i="17"/>
  <c r="H18" i="17"/>
  <c r="H26" i="17"/>
  <c r="H43" i="17" l="1"/>
  <c r="H46" i="17"/>
  <c r="H44" i="17" l="1"/>
  <c r="C22" i="55" l="1"/>
  <c r="C23" i="55"/>
  <c r="I36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revolve</author>
  </authors>
  <commentList>
    <comment ref="K22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238"/>
          </rPr>
          <t xml:space="preserve">hegy árnyéka miatt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csabi</author>
  </authors>
  <commentList>
    <comment ref="A50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38"/>
          </rPr>
          <t>csabi:</t>
        </r>
        <r>
          <rPr>
            <sz val="9"/>
            <color indexed="81"/>
            <rFont val="Tahoma"/>
            <family val="2"/>
            <charset val="238"/>
          </rPr>
          <t xml:space="preserve">
átlag %</t>
        </r>
      </text>
    </comment>
    <comment ref="F50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38"/>
          </rPr>
          <t>https://monitoringpublic.solaredge.com/solaredge-web/p/site/public?name=Telperion&amp;locale=en_US#/dashboard</t>
        </r>
      </text>
    </comment>
    <comment ref="G51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38"/>
          </rPr>
          <t>saját rendszer/referencia rendszer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revolve</author>
  </authors>
  <commentList>
    <comment ref="E25" authorId="0" shapeId="0" xr:uid="{00000000-0006-0000-2000-000001000000}">
      <text>
        <r>
          <rPr>
            <b/>
            <sz val="8"/>
            <color indexed="81"/>
            <rFont val="Tahoma"/>
            <family val="2"/>
            <charset val="238"/>
          </rPr>
          <t>2sima kapcsoló kell a csillár helyett!!
9db f 2es keret kell még!!</t>
        </r>
      </text>
    </comment>
    <comment ref="E31" authorId="0" shapeId="0" xr:uid="{00000000-0006-0000-2000-000002000000}">
      <text>
        <r>
          <rPr>
            <b/>
            <sz val="8"/>
            <color indexed="81"/>
            <rFont val="Tahoma"/>
            <family val="2"/>
            <charset val="238"/>
          </rPr>
          <t>1váltó, 1sima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revolve</author>
  </authors>
  <commentList>
    <comment ref="D8" authorId="0" shapeId="0" xr:uid="{00000000-0006-0000-2B00-000001000000}">
      <text>
        <r>
          <rPr>
            <b/>
            <sz val="8"/>
            <color indexed="81"/>
            <rFont val="Tahoma"/>
            <family val="2"/>
            <charset val="238"/>
          </rPr>
          <t>ezt mennyiért csinálod?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D15" authorId="0" shapeId="0" xr:uid="{00000000-0006-0000-2B00-000002000000}">
      <text>
        <r>
          <rPr>
            <b/>
            <sz val="8"/>
            <color indexed="81"/>
            <rFont val="Tahoma"/>
            <family val="2"/>
            <charset val="238"/>
          </rPr>
          <t>ezt mennyiért csinálod?</t>
        </r>
      </text>
    </comment>
  </commentList>
</comments>
</file>

<file path=xl/sharedStrings.xml><?xml version="1.0" encoding="utf-8"?>
<sst xmlns="http://schemas.openxmlformats.org/spreadsheetml/2006/main" count="9159" uniqueCount="3711">
  <si>
    <t>ablakbeépítés youtube-on illbruck</t>
  </si>
  <si>
    <t>Iso Thermo Kft</t>
  </si>
  <si>
    <t>PTH áthidaló 36fm</t>
  </si>
  <si>
    <t>PTH 12es</t>
  </si>
  <si>
    <t>PTH 10es</t>
  </si>
  <si>
    <t>1m3 zsaludeszka, 2x4fm 10x10 gerenda</t>
  </si>
  <si>
    <t>2 raklap KMT 2x360db</t>
  </si>
  <si>
    <t>tároló falán folyosó felé 20x20 lyuk a friss levegőnek</t>
  </si>
  <si>
    <t>csövek, szivattyúk, szelepek stb.</t>
  </si>
  <si>
    <t>Villas Promex Rapid 2x25L</t>
  </si>
  <si>
    <t>raklaphasználat, fuvar</t>
  </si>
  <si>
    <t>8m3 van még</t>
  </si>
  <si>
    <t>76mázsa van még</t>
  </si>
  <si>
    <t>bauhaus</t>
  </si>
  <si>
    <t>keverőgép</t>
  </si>
  <si>
    <t>Piramis Építőház Kft.</t>
  </si>
  <si>
    <t>UNIPLUS16</t>
  </si>
  <si>
    <t>Raklap</t>
  </si>
  <si>
    <t>lábazatra</t>
  </si>
  <si>
    <t>februárig</t>
  </si>
  <si>
    <t>BOSCH PKE645Q14E</t>
  </si>
  <si>
    <t>BOSCH SGV43E93EU</t>
  </si>
  <si>
    <t>fal áttörések:</t>
  </si>
  <si>
    <t>födém áttörések:</t>
  </si>
  <si>
    <t>kandalló frisslevegő d4es lyuk</t>
  </si>
  <si>
    <t>napkollektor csöveinek födémben lyukat hagyni</t>
  </si>
  <si>
    <t>padlás világításnak lyuk</t>
  </si>
  <si>
    <t>padlásfeljáró lyuk</t>
  </si>
  <si>
    <t>tároló falán friss levegőt beszívni 20x20cm</t>
  </si>
  <si>
    <t>06306113033</t>
  </si>
  <si>
    <t>Manole Róbert</t>
  </si>
  <si>
    <t>gépi vakolás 1350/m2 anyaggal</t>
  </si>
  <si>
    <t>Manole Róbert 1350/m2 anyaggal</t>
  </si>
  <si>
    <t>vízszerelés</t>
  </si>
  <si>
    <t>anyag+munkadíj alapba csövek</t>
  </si>
  <si>
    <t>120/150 FIX</t>
  </si>
  <si>
    <t>120/210 FIX</t>
  </si>
  <si>
    <t>180/240 NY/BNY</t>
  </si>
  <si>
    <t>150/150 NY/BNY</t>
  </si>
  <si>
    <t>Imiék</t>
  </si>
  <si>
    <t>Nettó kedvezménnyel</t>
  </si>
  <si>
    <t>100/210 PRÁGA T</t>
  </si>
  <si>
    <t>90/210 PRÁGA T</t>
  </si>
  <si>
    <t>Bricostore</t>
  </si>
  <si>
    <t>Baumit HF30 5 zsák</t>
  </si>
  <si>
    <t>Weber DF30 11 zsák</t>
  </si>
  <si>
    <t>sitteszsák 4db</t>
  </si>
  <si>
    <t>falazás főfal KMT</t>
  </si>
  <si>
    <t>falazás KMT áthidalók felett</t>
  </si>
  <si>
    <t>22fm*30cm+3,25fm*30cm</t>
  </si>
  <si>
    <t>44fm*12cm, 21fm*25cm</t>
  </si>
  <si>
    <t>rögzítőtárcsa szelemenhez dűbelezni</t>
  </si>
  <si>
    <t>HMV igény</t>
  </si>
  <si>
    <t>400+áfa vfk.hu</t>
  </si>
  <si>
    <t>bricostore</t>
  </si>
  <si>
    <t>bitumenes vízszig. fektetés 1rtg. válaszfalak alá</t>
  </si>
  <si>
    <t>függőeresz</t>
  </si>
  <si>
    <t>LMF 620</t>
  </si>
  <si>
    <t>sima</t>
  </si>
  <si>
    <t>vég</t>
  </si>
  <si>
    <t>födém vasszerelés</t>
  </si>
  <si>
    <t>Geresdi Gyuri</t>
  </si>
  <si>
    <t>Tarcsa Lajos</t>
  </si>
  <si>
    <t>támasztóláb</t>
  </si>
  <si>
    <t>ft/db/nap</t>
  </si>
  <si>
    <t>ft/nap</t>
  </si>
  <si>
    <t>villásfej</t>
  </si>
  <si>
    <t>fatartó 2,30m</t>
  </si>
  <si>
    <t>fatartó 2,00m</t>
  </si>
  <si>
    <t>födémtámasz 3,50m</t>
  </si>
  <si>
    <t>850.000</t>
  </si>
  <si>
    <t>177db</t>
  </si>
  <si>
    <t>30cm szig</t>
  </si>
  <si>
    <t>vertex háló tel:4010340</t>
  </si>
  <si>
    <t>Dryvit primus rag 6kg/m2 1.réteg</t>
  </si>
  <si>
    <t>0,15kg/m2</t>
  </si>
  <si>
    <t>2mm vakolat</t>
  </si>
  <si>
    <t>BRAMAC DUNA 10db/m2</t>
  </si>
  <si>
    <t>240db/raklap</t>
  </si>
  <si>
    <t>Dryvit alapozó</t>
  </si>
  <si>
    <t>ácskapocs 8, 10, 12</t>
  </si>
  <si>
    <t>125,140,175Ft</t>
  </si>
  <si>
    <t>M16/350</t>
  </si>
  <si>
    <t>rheinzink euroof.hu</t>
  </si>
  <si>
    <t>födém</t>
  </si>
  <si>
    <t>10x4fm zsaludeszka</t>
  </si>
  <si>
    <t>Puscho Kft.</t>
  </si>
  <si>
    <t>d16 1szál, 5x50 laposvas 1szál</t>
  </si>
  <si>
    <t>zsalubérlés</t>
  </si>
  <si>
    <t>födémzsalu bérlés</t>
  </si>
  <si>
    <t>d8</t>
  </si>
  <si>
    <t>d12</t>
  </si>
  <si>
    <t>6os háló</t>
  </si>
  <si>
    <t>350szál</t>
  </si>
  <si>
    <t>100szál</t>
  </si>
  <si>
    <t>50szál</t>
  </si>
  <si>
    <t>5ös háló</t>
  </si>
  <si>
    <t>fólia, ellenléc</t>
  </si>
  <si>
    <t>tetőléc</t>
  </si>
  <si>
    <t>ereszcsatorna</t>
  </si>
  <si>
    <t>vápa</t>
  </si>
  <si>
    <t>ácskapocs, szeg stb.</t>
  </si>
  <si>
    <t>tető</t>
  </si>
  <si>
    <t>Kőzúzó csavarbolt</t>
  </si>
  <si>
    <t>77db 16x350 talpszelemen csavar</t>
  </si>
  <si>
    <t>6m2 5cm vtg. EPS80 béléstestet betömni</t>
  </si>
  <si>
    <t>keresztgerenda, lemez zsaluzás</t>
  </si>
  <si>
    <t>koszorú, födém vasszerelés</t>
  </si>
  <si>
    <t>munkaasztal</t>
  </si>
  <si>
    <t>monolit áthidaló vasszerelés</t>
  </si>
  <si>
    <t>1m2 5cm vtg. EPS80 béléstestet betömni</t>
  </si>
  <si>
    <t>3db 16x350 talpszelemen csavar, 1db fogópár csavar</t>
  </si>
  <si>
    <t>12x4fm zsaludeszka</t>
  </si>
  <si>
    <t>kötöződrót 5kg</t>
  </si>
  <si>
    <t>kötöződrót 4kg</t>
  </si>
  <si>
    <t>menetesszár d12 1m</t>
  </si>
  <si>
    <t>koszorú vasszerelés</t>
  </si>
  <si>
    <t>vb. áthidaló beépítése</t>
  </si>
  <si>
    <t>zsalukő lábazat betonozás</t>
  </si>
  <si>
    <t>Nettó összesen:</t>
  </si>
  <si>
    <t>Bruttó összesen:</t>
  </si>
  <si>
    <t>25% ÁFA:</t>
  </si>
  <si>
    <t>Falazási munkák</t>
  </si>
  <si>
    <t>földvisszatöltés lábazatok közé</t>
  </si>
  <si>
    <t>vasalt aljzatbeton betonozás</t>
  </si>
  <si>
    <t>CIB</t>
  </si>
  <si>
    <t>értékbecslés</t>
  </si>
  <si>
    <t>szerződés módosítás</t>
  </si>
  <si>
    <t>jelzálog bejegyzés</t>
  </si>
  <si>
    <t>villanybekötés díja</t>
  </si>
  <si>
    <t>gázpalack letét+gáz 5000+3300</t>
  </si>
  <si>
    <t>1m3</t>
  </si>
  <si>
    <t>1,2m3</t>
  </si>
  <si>
    <t>talpszelemen, kis oszlopok 15/15</t>
  </si>
  <si>
    <t>eresztámasz 5/10</t>
  </si>
  <si>
    <t>beüzemelés, szabályozás</t>
  </si>
  <si>
    <t>tervezés</t>
  </si>
  <si>
    <t>födémbe</t>
  </si>
  <si>
    <t>lesz</t>
  </si>
  <si>
    <t>gv35 a csövekre</t>
  </si>
  <si>
    <t>molly dűbel</t>
  </si>
  <si>
    <t>pe fólia</t>
  </si>
  <si>
    <t>polifoam dilat csík</t>
  </si>
  <si>
    <t>Villas EO-G F/K 2tekercs</t>
  </si>
  <si>
    <t>ipari porszívó kölcsönzés+2porzsák</t>
  </si>
  <si>
    <t>fischer HM 5x52 üreges dűbel 3db</t>
  </si>
  <si>
    <t>hegesztő elektróda 2,5mm Jokibácsinak 3,1kg</t>
  </si>
  <si>
    <t>belső könyöklő</t>
  </si>
  <si>
    <t>padlófűtéshez</t>
  </si>
  <si>
    <t>PTH25NF 2raklap vissza</t>
  </si>
  <si>
    <t>d12 50szál</t>
  </si>
  <si>
    <t>5ös háló 16db</t>
  </si>
  <si>
    <t>leier födém fuvarral</t>
  </si>
  <si>
    <t>vas fuvar</t>
  </si>
  <si>
    <t>szállás</t>
  </si>
  <si>
    <t>áfa</t>
  </si>
  <si>
    <t>mixer áfa</t>
  </si>
  <si>
    <t>munkadíj betonozás, hálózás</t>
  </si>
  <si>
    <t>mixer bérlés</t>
  </si>
  <si>
    <t>tűvibrátor bérlés</t>
  </si>
  <si>
    <t>5x4m3 d16os kavics</t>
  </si>
  <si>
    <t>1x4m3 d16os kavics</t>
  </si>
  <si>
    <t>Bíró Olivér</t>
  </si>
  <si>
    <t>pumpálás kezdemény</t>
  </si>
  <si>
    <t>d16 4szál</t>
  </si>
  <si>
    <t>50db 12x250 fogópár csavar</t>
  </si>
  <si>
    <t>létra</t>
  </si>
  <si>
    <t>purhab pisztoly, purhab</t>
  </si>
  <si>
    <t>Borda barkácsbolt</t>
  </si>
  <si>
    <t>7db 16x350 talpszelemen csavar</t>
  </si>
  <si>
    <t>talpszelemen csavar hegesztés</t>
  </si>
  <si>
    <t>SZARUFA 7,5/15</t>
  </si>
  <si>
    <t>OSZLOP</t>
  </si>
  <si>
    <t>talpszelemen, palló</t>
  </si>
  <si>
    <t>SZELEMEN</t>
  </si>
  <si>
    <t>MAGASSÁG</t>
  </si>
  <si>
    <t>TARÉJFOGÓPÁR</t>
  </si>
  <si>
    <t>FOGÓPÁR</t>
  </si>
  <si>
    <t>VÁPASZARUFA 10/15</t>
  </si>
  <si>
    <t>BOSCH HBN311E1</t>
  </si>
  <si>
    <t>4,2es háló</t>
  </si>
  <si>
    <t>ÉLSZARUFA 7,5/15</t>
  </si>
  <si>
    <t>KALODA</t>
  </si>
  <si>
    <t>ÉL, VÁPAKALODA</t>
  </si>
  <si>
    <t>OSZLOPALÁTÉT</t>
  </si>
  <si>
    <t>faanyag előleg</t>
  </si>
  <si>
    <t>szeg, ácskapocs</t>
  </si>
  <si>
    <t>Vasudvar melletti barkácsbolt</t>
  </si>
  <si>
    <t>cirokseprű</t>
  </si>
  <si>
    <t>faanyag hátralék</t>
  </si>
  <si>
    <t>menetesszár d14 24db</t>
  </si>
  <si>
    <t>Szávoly Józsi</t>
  </si>
  <si>
    <t>flex korong</t>
  </si>
  <si>
    <t>elosztó kúpcserép</t>
  </si>
  <si>
    <t>Ernyei Zsolt</t>
  </si>
  <si>
    <t>Tündi fa visszavétel, szigetelés fuvar</t>
  </si>
  <si>
    <t>1510/fm</t>
  </si>
  <si>
    <t>netolcsobb.hu!!!!!!!!!!</t>
  </si>
  <si>
    <t>s</t>
  </si>
  <si>
    <t>EGYSÉGÁR TIBI</t>
  </si>
  <si>
    <t>kalodázás</t>
  </si>
  <si>
    <t>szigetelo.extra.hu</t>
  </si>
  <si>
    <t>bitugél</t>
  </si>
  <si>
    <t>5820/18kg</t>
  </si>
  <si>
    <t>0,8mm anyag 1400fok tűzálló hőszig</t>
  </si>
  <si>
    <t>ár bruttó/db</t>
  </si>
  <si>
    <t>szükséglet</t>
  </si>
  <si>
    <t>vápalezáró szalag</t>
  </si>
  <si>
    <t>luminex tetőkibúvó</t>
  </si>
  <si>
    <t>65fm</t>
  </si>
  <si>
    <t>élgerinc kúpalátét szalag 45fm</t>
  </si>
  <si>
    <t xml:space="preserve">lezárófésű </t>
  </si>
  <si>
    <t>kúpcserép rögzítkampóval 2,5db/fm</t>
  </si>
  <si>
    <t>60fm gerinc</t>
  </si>
  <si>
    <t>taréjgerinc kúpalátét szalag 13,05</t>
  </si>
  <si>
    <t>alapcserép 10db/m2</t>
  </si>
  <si>
    <t>230m2</t>
  </si>
  <si>
    <t>tetőfólia dörken dragofol</t>
  </si>
  <si>
    <t>fatelep.hu</t>
  </si>
  <si>
    <t>1,15m2/m2</t>
  </si>
  <si>
    <t>230m3</t>
  </si>
  <si>
    <t>tetőfólia bramac veltitech</t>
  </si>
  <si>
    <t>grandács</t>
  </si>
  <si>
    <t>20fm vápa</t>
  </si>
  <si>
    <t>vápaszegély 2db/fm</t>
  </si>
  <si>
    <t xml:space="preserve">járócserép </t>
  </si>
  <si>
    <t>lépcsőfok</t>
  </si>
  <si>
    <t>lépcsőfok tartó</t>
  </si>
  <si>
    <t>cserepshop.hu</t>
  </si>
  <si>
    <t>tetocentrum.hu</t>
  </si>
  <si>
    <t>wakaflex kéményszegély 5fm/db</t>
  </si>
  <si>
    <t>alu fém vápaelem 1,5fm/db</t>
  </si>
  <si>
    <t>kezdő és elosztókúp rögzítő</t>
  </si>
  <si>
    <t>talpszelemen csavarok, menetes szár stb.</t>
  </si>
  <si>
    <t>jelzálog törlés</t>
  </si>
  <si>
    <t>szeg</t>
  </si>
  <si>
    <t>konyha-étkező</t>
  </si>
  <si>
    <t>Szlancsik ferde támaszok elbonthatók-e</t>
  </si>
  <si>
    <t>trosztel zs. Gépészet</t>
  </si>
  <si>
    <t>boattis gépészet</t>
  </si>
  <si>
    <t>kémény inox 11pa, duplafalú</t>
  </si>
  <si>
    <t>cserépeladás gyuri 170db</t>
  </si>
  <si>
    <t>fatelep tartozásról papír 10.000</t>
  </si>
  <si>
    <t>drexler peti anyagárak? 7ezer valamennyivel tartozik</t>
  </si>
  <si>
    <t>brigittának levél</t>
  </si>
  <si>
    <t>szigetelés BB, eutüzép, szigatech</t>
  </si>
  <si>
    <t>NL201</t>
  </si>
  <si>
    <t>csak jövő héten lesznek</t>
  </si>
  <si>
    <t>körülnéz</t>
  </si>
  <si>
    <t>Jokibácsinak elektróda</t>
  </si>
  <si>
    <t>holnap küldi</t>
  </si>
  <si>
    <t>Bodó Gyula</t>
  </si>
  <si>
    <t>gödöllői fűtésszerelő, ecoidroja van</t>
  </si>
  <si>
    <t>06309410341</t>
  </si>
  <si>
    <t>Kolozs Ferenc</t>
  </si>
  <si>
    <t>kéményszerelő</t>
  </si>
  <si>
    <t>06209732086</t>
  </si>
  <si>
    <t>Karácsondi Mihály</t>
  </si>
  <si>
    <t>06302788759</t>
  </si>
  <si>
    <t>Karesz</t>
  </si>
  <si>
    <t>hőszigetelő</t>
  </si>
  <si>
    <t>06205650028</t>
  </si>
  <si>
    <t>kivitelező</t>
  </si>
  <si>
    <t>06307465510</t>
  </si>
  <si>
    <t>Alpintechnika</t>
  </si>
  <si>
    <t>kőművesek is</t>
  </si>
  <si>
    <t>06202151900</t>
  </si>
  <si>
    <t>Gerezsdi Gyuri</t>
  </si>
  <si>
    <t>bobcat, alapnál ő dolgozott</t>
  </si>
  <si>
    <t>06209342047</t>
  </si>
  <si>
    <t>Baranyi Péter</t>
  </si>
  <si>
    <t>06302792799</t>
  </si>
  <si>
    <t>Csillaghegy bádogbolt</t>
  </si>
  <si>
    <t>bádog</t>
  </si>
  <si>
    <t>06309299893</t>
  </si>
  <si>
    <t>Pomázi bádogosbolt</t>
  </si>
  <si>
    <t>0626325663/11</t>
  </si>
  <si>
    <t>Bramac dunakeszi</t>
  </si>
  <si>
    <t>0627341392</t>
  </si>
  <si>
    <t>Kovács István ventishop</t>
  </si>
  <si>
    <t>szellőzés tervezés</t>
  </si>
  <si>
    <t>14fm polifoam csőhéj, d6, d8, fúrószár, 100db kábelkötegelő</t>
  </si>
  <si>
    <t>Virág Jánosné Terka</t>
  </si>
  <si>
    <t>wc csésze elszívóhoz</t>
  </si>
  <si>
    <t>06309591895</t>
  </si>
  <si>
    <t>Bramac Kárpáti József</t>
  </si>
  <si>
    <t>logisztikai vezető</t>
  </si>
  <si>
    <t>Drexler telep</t>
  </si>
  <si>
    <t>06704283853</t>
  </si>
  <si>
    <t>Drexler kollégája</t>
  </si>
  <si>
    <t>06202333808</t>
  </si>
  <si>
    <t>06309963084</t>
  </si>
  <si>
    <t>Fakivágás</t>
  </si>
  <si>
    <t>06303536530</t>
  </si>
  <si>
    <t>Sufa fatelep Tündi</t>
  </si>
  <si>
    <t>06209161803</t>
  </si>
  <si>
    <t>Sufa fatelep Gyula</t>
  </si>
  <si>
    <t>06209834899</t>
  </si>
  <si>
    <t>Gál István</t>
  </si>
  <si>
    <t>kőműves</t>
  </si>
  <si>
    <t>06304161048</t>
  </si>
  <si>
    <t>fatelep</t>
  </si>
  <si>
    <t>Karcher</t>
  </si>
  <si>
    <t>ipari porszívó résszívó, gumi</t>
  </si>
  <si>
    <t>szaniterek+szerelvényezés</t>
  </si>
  <si>
    <t>gépi vakolás</t>
  </si>
  <si>
    <t>06302982991</t>
  </si>
  <si>
    <t>pisztolyos purhab</t>
  </si>
  <si>
    <t>vízszigetelés munkadíj</t>
  </si>
  <si>
    <t>víz, csatorna szerelés, padlóhőszig. fektetés</t>
  </si>
  <si>
    <t>padlóhőszig. fektetés</t>
  </si>
  <si>
    <t>vízszerelés vésés</t>
  </si>
  <si>
    <t>falfűtés szerelés, villanyszerelés</t>
  </si>
  <si>
    <t>Kikilai Feri</t>
  </si>
  <si>
    <t>purhab 5db+keverőszár</t>
  </si>
  <si>
    <t>EPS30 12,5m2</t>
  </si>
  <si>
    <t>cib Nóri</t>
  </si>
  <si>
    <t>padlófűtés szerelés</t>
  </si>
  <si>
    <t>1db purhab, 20kg stukatur gipsz</t>
  </si>
  <si>
    <t>0626363042</t>
  </si>
  <si>
    <t>Hb ferrum</t>
  </si>
  <si>
    <t>0614050363</t>
  </si>
  <si>
    <t>Hetessy Csaba</t>
  </si>
  <si>
    <t>Hlaván Csabi</t>
  </si>
  <si>
    <t>06306879310</t>
  </si>
  <si>
    <t>kertépítő</t>
  </si>
  <si>
    <t>06205483151</t>
  </si>
  <si>
    <t>Krizbai Zoli</t>
  </si>
  <si>
    <t>szentendrei srác</t>
  </si>
  <si>
    <t>06304911603</t>
  </si>
  <si>
    <t>Marci</t>
  </si>
  <si>
    <t>drexler fuvarosa volt</t>
  </si>
  <si>
    <t>06705873694</t>
  </si>
  <si>
    <t>Nagy Károly</t>
  </si>
  <si>
    <t>dzsungelirtó</t>
  </si>
  <si>
    <t>06209596691</t>
  </si>
  <si>
    <t>Norman</t>
  </si>
  <si>
    <t>0613063421</t>
  </si>
  <si>
    <t>Novaglobus</t>
  </si>
  <si>
    <t>0613502282</t>
  </si>
  <si>
    <t>Parkettás</t>
  </si>
  <si>
    <t>06309901778</t>
  </si>
  <si>
    <t>Pipa Árvai István</t>
  </si>
  <si>
    <t>Rézműhely szentendre</t>
  </si>
  <si>
    <t>bádogbolt</t>
  </si>
  <si>
    <t>bádogbolt, dózsa györgy út</t>
  </si>
  <si>
    <t>0626302799</t>
  </si>
  <si>
    <t>0626318912</t>
  </si>
  <si>
    <t>Smartteam szentendre</t>
  </si>
  <si>
    <t>gépkölcsönző</t>
  </si>
  <si>
    <t>0626302901</t>
  </si>
  <si>
    <t>06309666963</t>
  </si>
  <si>
    <t>Sümeghy Péter</t>
  </si>
  <si>
    <t>atrea szellőzés</t>
  </si>
  <si>
    <t>06209524733</t>
  </si>
  <si>
    <t>vízszerelő, vízaknát bontotta</t>
  </si>
  <si>
    <t>06205315263</t>
  </si>
  <si>
    <t>Szabó Zoli</t>
  </si>
  <si>
    <t>06706049112</t>
  </si>
  <si>
    <t>Szávoly Joki bácsi</t>
  </si>
  <si>
    <t>lakatos</t>
  </si>
  <si>
    <t>bitumenes ragasztó emulzió</t>
  </si>
  <si>
    <t>anyag fizetve</t>
  </si>
  <si>
    <t>munka fizetve</t>
  </si>
  <si>
    <t>Bartos 350 420EFt+-Fa www.bartosz.hu</t>
  </si>
  <si>
    <t>150pa max nyomás</t>
  </si>
  <si>
    <t>Fazékkorong, pur tisztító</t>
  </si>
  <si>
    <t>Spar</t>
  </si>
  <si>
    <t>szerszámosláda</t>
  </si>
  <si>
    <t>Skil 9371 flex, korongokkal</t>
  </si>
  <si>
    <t>06305420500</t>
  </si>
  <si>
    <t>Szippantás</t>
  </si>
  <si>
    <t>06309322530</t>
  </si>
  <si>
    <t>06303222530</t>
  </si>
  <si>
    <t>0626314372</t>
  </si>
  <si>
    <t>06203466038</t>
  </si>
  <si>
    <t>S&amp;D</t>
  </si>
  <si>
    <t>0626313385</t>
  </si>
  <si>
    <t>06205127976</t>
  </si>
  <si>
    <t>Iso Thermo</t>
  </si>
  <si>
    <t>0626310882</t>
  </si>
  <si>
    <t>K+D</t>
  </si>
  <si>
    <t>0626312306</t>
  </si>
  <si>
    <t>Z+K</t>
  </si>
  <si>
    <t>0626505034</t>
  </si>
  <si>
    <t>vasbolt</t>
  </si>
  <si>
    <t>0626310355</t>
  </si>
  <si>
    <t>Vígh György</t>
  </si>
  <si>
    <t>autószerelő, szentendre</t>
  </si>
  <si>
    <t>0626303671</t>
  </si>
  <si>
    <t>Villanybekötő</t>
  </si>
  <si>
    <t>06209542325</t>
  </si>
  <si>
    <t>Zeitler Mihály</t>
  </si>
  <si>
    <t>FEMÜ</t>
  </si>
  <si>
    <t>06203312791</t>
  </si>
  <si>
    <t>Pomázi fatelep, drexler mellett</t>
  </si>
  <si>
    <t>0626325066</t>
  </si>
  <si>
    <t>tüzép</t>
  </si>
  <si>
    <t>kívül alu, velül inox http://karacsondikemeny.fw.hu/ holnap hív, kolozs holnap hív, fixerkft?</t>
  </si>
  <si>
    <t>insta stick</t>
  </si>
  <si>
    <t>tytan styro 753 pu ragasztó 1800ft 750ml</t>
  </si>
  <si>
    <t>perimeterkleber</t>
  </si>
  <si>
    <t>baumit ragasztótárcsa, baumitost hívni</t>
  </si>
  <si>
    <t>henco16x2 30/9785-686 expressz.hu 195/fm</t>
  </si>
  <si>
    <t>40m bramac léc</t>
  </si>
  <si>
    <t>24m 15ös deszka</t>
  </si>
  <si>
    <t>Cserépshop</t>
  </si>
  <si>
    <t>cserép</t>
  </si>
  <si>
    <t>pipa</t>
  </si>
  <si>
    <t>zsalu javítás</t>
  </si>
  <si>
    <t>kőműves munkadíj</t>
  </si>
  <si>
    <t>tibi</t>
  </si>
  <si>
    <t>párazáró fólia</t>
  </si>
  <si>
    <t>19mm</t>
  </si>
  <si>
    <t>ereszdeszkázat homloklap</t>
  </si>
  <si>
    <t>ereszdeszkázat alul</t>
  </si>
  <si>
    <t>ereszdeszka 26,886m2</t>
  </si>
  <si>
    <t>100m bramac léc impregnált ereszhez</t>
  </si>
  <si>
    <t>euroof masterplast</t>
  </si>
  <si>
    <t>lefolyó</t>
  </si>
  <si>
    <t>kiterített szélesség</t>
  </si>
  <si>
    <t>ereszcsatorna 150</t>
  </si>
  <si>
    <t>fogópár csavar</t>
  </si>
  <si>
    <t>Grandács</t>
  </si>
  <si>
    <t>tetőfólia 300m2, 2db csatornakampó</t>
  </si>
  <si>
    <t>1,9kg 65ös horganyzott szeg</t>
  </si>
  <si>
    <t>motorolaj</t>
  </si>
  <si>
    <t>bolt</t>
  </si>
  <si>
    <t>5kg 65ös horganyzott szeg</t>
  </si>
  <si>
    <t>1000m bramac léc, 500m stafni</t>
  </si>
  <si>
    <t>Bramac Veltitech</t>
  </si>
  <si>
    <t>tetofix.hu</t>
  </si>
  <si>
    <t>kohazy.hu</t>
  </si>
  <si>
    <t>1L=4,5m2 kétszeri kenés</t>
  </si>
  <si>
    <t>HÉRA 16L=4500Ft=72m2</t>
  </si>
  <si>
    <t>0,22L/m2 1rtg</t>
  </si>
  <si>
    <t>1L=280Ft</t>
  </si>
  <si>
    <t>festés</t>
  </si>
  <si>
    <t>anyag</t>
  </si>
  <si>
    <t>munka</t>
  </si>
  <si>
    <t>ereszszellőző lezárófésűvel</t>
  </si>
  <si>
    <t>tetőfix tetőkibúvó</t>
  </si>
  <si>
    <t>multivent kúpalátét szalag</t>
  </si>
  <si>
    <t>vápaszivacs</t>
  </si>
  <si>
    <t>vápabádog festett ALU 50cm-es</t>
  </si>
  <si>
    <t>csatornatartó rövid egyenes</t>
  </si>
  <si>
    <t>rézműhely</t>
  </si>
  <si>
    <t>pomáz bádogosbolt</t>
  </si>
  <si>
    <t>ereszcsatorna 33as</t>
  </si>
  <si>
    <t>63fm</t>
  </si>
  <si>
    <t>20fm</t>
  </si>
  <si>
    <t>2x20fm</t>
  </si>
  <si>
    <t>külső szeglet</t>
  </si>
  <si>
    <t>belső szeglet</t>
  </si>
  <si>
    <t>hb ferrum</t>
  </si>
  <si>
    <t>hattyúnyak</t>
  </si>
  <si>
    <t>betorkollócsonk</t>
  </si>
  <si>
    <t>ALU vápa</t>
  </si>
  <si>
    <t>nova-globus.hu</t>
  </si>
  <si>
    <t>eresz D</t>
  </si>
  <si>
    <t>0,5m cső</t>
  </si>
  <si>
    <t>33fm 20as ereszszegély</t>
  </si>
  <si>
    <t>Novaglobus Kft.</t>
  </si>
  <si>
    <t>4db duna cserép, 1db fésűs szellőzőléc</t>
  </si>
  <si>
    <t>Bramac Dunakeszi</t>
  </si>
  <si>
    <t>tankolás</t>
  </si>
  <si>
    <t>hb ferrum alu</t>
  </si>
  <si>
    <t>hb ferrum színes alu</t>
  </si>
  <si>
    <t>lefolyócső</t>
  </si>
  <si>
    <t>ereszszegély HVL 20cm-es</t>
  </si>
  <si>
    <t>10fm 20as ereszszegély, 26fm színes alu vápahajlat</t>
  </si>
  <si>
    <t>Thermo Per Coop</t>
  </si>
  <si>
    <t>tető kiegészítők</t>
  </si>
  <si>
    <t>Tetőfix Kft.</t>
  </si>
  <si>
    <t>Papsziget gazdabolt</t>
  </si>
  <si>
    <t>matrac</t>
  </si>
  <si>
    <t>ereszdeszka</t>
  </si>
  <si>
    <t>szellőzőléc vissza</t>
  </si>
  <si>
    <t>Bíró Zrt.</t>
  </si>
  <si>
    <t>DM</t>
  </si>
  <si>
    <t>pajszer, gereblye, gumicsizma, seprű stb</t>
  </si>
  <si>
    <t>ereszdeszkára lazúr és alapozó</t>
  </si>
  <si>
    <t>sitteszsák 25db, higító</t>
  </si>
  <si>
    <t>Trybek Balázs</t>
  </si>
  <si>
    <t>sittszállítás</t>
  </si>
  <si>
    <t>kert</t>
  </si>
  <si>
    <t>fakivágás</t>
  </si>
  <si>
    <t>vízóra megszüntetés, kikötés</t>
  </si>
  <si>
    <t>Szabó János</t>
  </si>
  <si>
    <t>Pomáz fatelep</t>
  </si>
  <si>
    <t>kanapé előleg</t>
  </si>
  <si>
    <t>kulékavics 5x4=20m3</t>
  </si>
  <si>
    <t>Németh Zoli</t>
  </si>
  <si>
    <t>támfal</t>
  </si>
  <si>
    <t>sanyinak</t>
  </si>
  <si>
    <t>tető munkadíj előleg</t>
  </si>
  <si>
    <t>6raklap támfalelem fuvar</t>
  </si>
  <si>
    <t>4m3 kulé</t>
  </si>
  <si>
    <t>4 UNI raklap vissza</t>
  </si>
  <si>
    <t>13 Leier raklap vissza</t>
  </si>
  <si>
    <t>6 EUR raklap vissza</t>
  </si>
  <si>
    <t>93db béléstest vissza</t>
  </si>
  <si>
    <t>10.000ft-tal tartozik</t>
  </si>
  <si>
    <t>támfal alaphoz pozdorja zsalu</t>
  </si>
  <si>
    <t>támfal alap kézi földmunka, betonozás</t>
  </si>
  <si>
    <t>tető munkadíj</t>
  </si>
  <si>
    <t>geo felmérés 5604</t>
  </si>
  <si>
    <t>geo felmérés 5603</t>
  </si>
  <si>
    <t>2raklap (72db) támfalelem+8db feles elem</t>
  </si>
  <si>
    <t>támfal rakás</t>
  </si>
  <si>
    <t>ecoidro 402+áfa futestechnika.unas.hu</t>
  </si>
  <si>
    <t>futesuzlethaz.hu okc300NTRR/sol</t>
  </si>
  <si>
    <t>gazcenter.hu</t>
  </si>
  <si>
    <t>2400/5kg</t>
  </si>
  <si>
    <t>3600/25kg</t>
  </si>
  <si>
    <t>Megtörtént a talpszelemenek és a belső kiegészítő pallók helyének kitűzése és rögzítése a födémhez. A faszerkezetek alá vastagbitumenes lemez alátét került.</t>
  </si>
  <si>
    <t>Folytatódott a kalodázás.</t>
  </si>
  <si>
    <t>Elkészülnek a vápabádogozások, festett alu lemezzel.</t>
  </si>
  <si>
    <t>sz</t>
  </si>
  <si>
    <t>4raklap (144db) támfalelem</t>
  </si>
  <si>
    <t>Közjegyző</t>
  </si>
  <si>
    <t>KG PVC kupak</t>
  </si>
  <si>
    <t>KG cső</t>
  </si>
  <si>
    <t>2007</t>
  </si>
  <si>
    <t>4raklap támfalelem fuvar</t>
  </si>
  <si>
    <t>hófogó 120db</t>
  </si>
  <si>
    <t>szeg, csavar</t>
  </si>
  <si>
    <t>1,5m2 5cm vtg. XPS, Dörken Multiband</t>
  </si>
  <si>
    <t>25db duna szellőzőcserép</t>
  </si>
  <si>
    <t>Elkezdődött a cserepezés.</t>
  </si>
  <si>
    <t>20db támfalelem</t>
  </si>
  <si>
    <t>8db támfalelem</t>
  </si>
  <si>
    <t>raklap</t>
  </si>
  <si>
    <t>2fuvar cserép</t>
  </si>
  <si>
    <t>3m3 kulé</t>
  </si>
  <si>
    <t>160db duna alapcserép</t>
  </si>
  <si>
    <t>cserepezés</t>
  </si>
  <si>
    <t>2010</t>
  </si>
  <si>
    <t>EPS80</t>
  </si>
  <si>
    <t>EPS100</t>
  </si>
  <si>
    <t>EPS80 GRAFIT</t>
  </si>
  <si>
    <t>1baudepo kft.</t>
  </si>
  <si>
    <t>XPS</t>
  </si>
  <si>
    <t>dűbel 150mm 6db/m2</t>
  </si>
  <si>
    <t>mennyiség</t>
  </si>
  <si>
    <t>összesen</t>
  </si>
  <si>
    <t>Padláshőszigetelés</t>
  </si>
  <si>
    <t>varszig.hu</t>
  </si>
  <si>
    <t>baumit ragasztótárcsa 6db/m2</t>
  </si>
  <si>
    <t>ha 2rtg-ben lesz az eps</t>
  </si>
  <si>
    <t>Dryvit primus rag 6kg/m2 2.réteg</t>
  </si>
  <si>
    <t>Illbruck EW beltéri</t>
  </si>
  <si>
    <t>Illbruck EW kültéri</t>
  </si>
  <si>
    <t>50fm 70mm</t>
  </si>
  <si>
    <t>eutüzép</t>
  </si>
  <si>
    <t>ÖSSZESEN</t>
  </si>
  <si>
    <t>PADLÁS</t>
  </si>
  <si>
    <t>HOMLOKZAT</t>
  </si>
  <si>
    <t>PADLÓ</t>
  </si>
  <si>
    <t>LÁBAZAT</t>
  </si>
  <si>
    <t>BB</t>
  </si>
  <si>
    <t>atlastherm.hu</t>
  </si>
  <si>
    <t>szigatech.hu</t>
  </si>
  <si>
    <t>szigex.hu</t>
  </si>
  <si>
    <t>CD rugós függesztő</t>
  </si>
  <si>
    <t>CD keresztösszekötő</t>
  </si>
  <si>
    <t>gk csavar</t>
  </si>
  <si>
    <t>30mm öntapadó szivacscsík </t>
  </si>
  <si>
    <t>CD toldó profil</t>
  </si>
  <si>
    <t>gk 12,5</t>
  </si>
  <si>
    <t>gipszkarton álmennyezet</t>
  </si>
  <si>
    <t>EPS80 3x10cm</t>
  </si>
  <si>
    <t>? Dunaújváros</t>
  </si>
  <si>
    <t>UNIPLUS16 eladás</t>
  </si>
  <si>
    <t>155db kisméretű</t>
  </si>
  <si>
    <t>villany előleg</t>
  </si>
  <si>
    <t>villanyszerelés</t>
  </si>
  <si>
    <t>padlóösszefolyó gépészetben?</t>
  </si>
  <si>
    <t>villany riasztó</t>
  </si>
  <si>
    <t>előleg</t>
  </si>
  <si>
    <t>179db bramac eladás</t>
  </si>
  <si>
    <t>10db sitteszsák, 10m kötél</t>
  </si>
  <si>
    <t>fűtés egyéb anyag</t>
  </si>
  <si>
    <t>padló+falfűtés szerelés</t>
  </si>
  <si>
    <t>.ciszterna.hu</t>
  </si>
  <si>
    <t>okotechhome.hu</t>
  </si>
  <si>
    <t>520+áfa telepítéssel</t>
  </si>
  <si>
    <t>topszigetel.hu</t>
  </si>
  <si>
    <t>PE 0.09mm vtg</t>
  </si>
  <si>
    <t>20cm vtg.</t>
  </si>
  <si>
    <t>bank</t>
  </si>
  <si>
    <t>erste</t>
  </si>
  <si>
    <t>cib nóri</t>
  </si>
  <si>
    <t>cib</t>
  </si>
  <si>
    <t>CD60/27</t>
  </si>
  <si>
    <t>ud30</t>
  </si>
  <si>
    <t>cserepezés befejezés</t>
  </si>
  <si>
    <t>Folytatódik a fóliázás és lécezés.</t>
  </si>
  <si>
    <t>Befejeződik a fóliázás és lécezés.</t>
  </si>
  <si>
    <t>A tető fóliázása következett. Bramac Veltitech 120 tetőfólia került rögzítésre tűzőgéppel a szarufákhoz. A fóliázással egyidejűleg helyére kerül az ellenlécezés és a tetőlécezés. Ellenléc mérete: 50/50, tetőléc mérete: 30/50.</t>
  </si>
  <si>
    <t>Helyükre kerültek a taréjszelemenek (12/12), taréjfogópárok (5/15) és középfogópárok (5/15).</t>
  </si>
  <si>
    <t>Elkezdődött a szaruzat felállítása. A szarufák mérete 7,5/15, tengelytávolságuk 75-80cm.</t>
  </si>
  <si>
    <t>A felső talpszelemensor is helyére került. Ezt a födém talpszelemencsavarjaihoz hegesztett menetesszárra rögzítették. A talpszelemenek és oszlopok mérete 15/15.</t>
  </si>
  <si>
    <t>A szarufavégekre rögzítésre került a homlokdeszka, anyaga 19mm vtg. fózolt hajópadló.</t>
  </si>
  <si>
    <t>Beépítésre kerültek a két talpszelemensor közti oszlopok 60-65cm-es tengelytávolsággal egymástól.</t>
  </si>
  <si>
    <t>A szarufák felállítása folyatatódott, és megtörtént a középszelemenek (12/12) és tartóoszlopok (12/12) felállítása.</t>
  </si>
  <si>
    <t>Befejeződött a kalodázás.</t>
  </si>
  <si>
    <t>Megtörtént az ereszszegély beépítése. Ez szabványméretű 20cm kiterített szélességű horganyzott acéllemez. Az ereszegély alá 25cm szélességben deszkaborítás került.</t>
  </si>
  <si>
    <t>NÉV</t>
  </si>
  <si>
    <t>EGYSÉG</t>
  </si>
  <si>
    <t>MENNYISÉG</t>
  </si>
  <si>
    <t>m2</t>
  </si>
  <si>
    <t>KIVITEL</t>
  </si>
  <si>
    <t>HIDEGBURKOLAT</t>
  </si>
  <si>
    <t>padló</t>
  </si>
  <si>
    <t>MELEGBURKOLAT</t>
  </si>
  <si>
    <t>lábazat</t>
  </si>
  <si>
    <t>Áthidaló:</t>
  </si>
  <si>
    <t>fm</t>
  </si>
  <si>
    <t>Aljzatbeton:</t>
  </si>
  <si>
    <t>monolit vb.</t>
  </si>
  <si>
    <t>ÖSSZ. ANYAG ktsg.</t>
  </si>
  <si>
    <t>Padlóhőszigetelés</t>
  </si>
  <si>
    <t>m3</t>
  </si>
  <si>
    <t>Vasalt aljzat:</t>
  </si>
  <si>
    <t>Sávalap:</t>
  </si>
  <si>
    <t>Tetőfedés</t>
  </si>
  <si>
    <t>Tető faanyag:</t>
  </si>
  <si>
    <t>Talajnedv. Szig:</t>
  </si>
  <si>
    <t>Bádogos szerk.:</t>
  </si>
  <si>
    <t>nappali</t>
  </si>
  <si>
    <t>konyha</t>
  </si>
  <si>
    <t>dolgozó</t>
  </si>
  <si>
    <t>kamra</t>
  </si>
  <si>
    <t>zuhanyzó</t>
  </si>
  <si>
    <t>tároló+gépészet</t>
  </si>
  <si>
    <t>közlekedő</t>
  </si>
  <si>
    <t>gyerekszoba</t>
  </si>
  <si>
    <t>hálószoba</t>
  </si>
  <si>
    <t>fürdő</t>
  </si>
  <si>
    <t>60/60 B</t>
  </si>
  <si>
    <t>tároló</t>
  </si>
  <si>
    <t>db</t>
  </si>
  <si>
    <t>Homlokzati hőszig.</t>
  </si>
  <si>
    <t>bejárati ajtó</t>
  </si>
  <si>
    <t>100/240 AJTÓ P14</t>
  </si>
  <si>
    <t>burkolás</t>
  </si>
  <si>
    <t>Csempeáruház XIV</t>
  </si>
  <si>
    <t>aljzatbeton munkadíj</t>
  </si>
  <si>
    <t>2x5kg Kerakoll Idrobuild FX folyékony fólia vízszigetelés</t>
  </si>
  <si>
    <t>nappali járólap előleg</t>
  </si>
  <si>
    <t>10m3 0-8 kavics</t>
  </si>
  <si>
    <t>6m3 sitt szállítás</t>
  </si>
  <si>
    <t>90/210 PRÁGA Ü</t>
  </si>
  <si>
    <t>skandinavfatelep.hu</t>
  </si>
  <si>
    <t>tetőléc 5/3</t>
  </si>
  <si>
    <t>kg</t>
  </si>
  <si>
    <t>Ragasztó 5kg/m2</t>
  </si>
  <si>
    <t>mapei keraflex</t>
  </si>
  <si>
    <t>mapei keracolor flex</t>
  </si>
  <si>
    <t>TERASZBURKOLAT</t>
  </si>
  <si>
    <t>Szigetelés</t>
  </si>
  <si>
    <t>Tető</t>
  </si>
  <si>
    <t>Kazán</t>
  </si>
  <si>
    <t>Fűtés</t>
  </si>
  <si>
    <t>Szellőzés</t>
  </si>
  <si>
    <t>Emésztő</t>
  </si>
  <si>
    <t>12cm vtg.</t>
  </si>
  <si>
    <t>Betonvas</t>
  </si>
  <si>
    <t>Burkolás</t>
  </si>
  <si>
    <t>Falazás</t>
  </si>
  <si>
    <t>Betonozás</t>
  </si>
  <si>
    <t>Nyílászárók</t>
  </si>
  <si>
    <t>Gépészet</t>
  </si>
  <si>
    <t>Konyha</t>
  </si>
  <si>
    <t>Villanyszerelés</t>
  </si>
  <si>
    <t>d8/30cm kengyel</t>
  </si>
  <si>
    <t>m</t>
  </si>
  <si>
    <t>Koszorú</t>
  </si>
  <si>
    <t>Vasalt aljzat</t>
  </si>
  <si>
    <t>Lábazati fal:</t>
  </si>
  <si>
    <t>Dréncső</t>
  </si>
  <si>
    <t>35tábla 3cm-es XPS</t>
  </si>
  <si>
    <t>6zsák LB Knauf PS ragasztó</t>
  </si>
  <si>
    <t>2tábla 3cm-es XPS</t>
  </si>
  <si>
    <t>vendégszoba</t>
  </si>
  <si>
    <t>szerszámkészlet, villáskulcs készlet, pisztolytáska</t>
  </si>
  <si>
    <t>osztó balról jobbra:</t>
  </si>
  <si>
    <t>nappali fal</t>
  </si>
  <si>
    <t>zuhanyzó+közlekedő</t>
  </si>
  <si>
    <t>előtér+WC</t>
  </si>
  <si>
    <t>szülői háló</t>
  </si>
  <si>
    <t>konyha padló</t>
  </si>
  <si>
    <t>nappali padló bal</t>
  </si>
  <si>
    <t>nappali padló közép</t>
  </si>
  <si>
    <t>Geotextília</t>
  </si>
  <si>
    <t>WC kagyló</t>
  </si>
  <si>
    <t>Mosdó</t>
  </si>
  <si>
    <t>WC tartály</t>
  </si>
  <si>
    <t>gépek nélkül</t>
  </si>
  <si>
    <t>Mosogatógép</t>
  </si>
  <si>
    <t>Főzőlap</t>
  </si>
  <si>
    <t>Sütő</t>
  </si>
  <si>
    <t>Páraelszívó</t>
  </si>
  <si>
    <t>ATREA 360BP energotrade.hu</t>
  </si>
  <si>
    <t>cső 10,5m/m2 fal</t>
  </si>
  <si>
    <t>t</t>
  </si>
  <si>
    <t>Belső vakolás:</t>
  </si>
  <si>
    <t>kerámia burkolat lábazat</t>
  </si>
  <si>
    <t>Festés</t>
  </si>
  <si>
    <t>Belső festés</t>
  </si>
  <si>
    <t>kádfalazás</t>
  </si>
  <si>
    <t>élvédőzés</t>
  </si>
  <si>
    <t>Vízszerelési anyagok</t>
  </si>
  <si>
    <t>Kémény</t>
  </si>
  <si>
    <t>Zsaludeszka</t>
  </si>
  <si>
    <t>sávalap betonozás pumpálva</t>
  </si>
  <si>
    <t>koszorú zsaluzás</t>
  </si>
  <si>
    <t>kerámia burkolat készítése</t>
  </si>
  <si>
    <t>Kőműves munka</t>
  </si>
  <si>
    <t>EGYSÉGÁR</t>
  </si>
  <si>
    <t>HELYISÉG</t>
  </si>
  <si>
    <t>TÍPUS</t>
  </si>
  <si>
    <t>MENNY.</t>
  </si>
  <si>
    <t>BELSŐ:</t>
  </si>
  <si>
    <t>KÜLSŐ:</t>
  </si>
  <si>
    <t>ÁR/DB</t>
  </si>
  <si>
    <t>KOMPLETT ÁR/DB</t>
  </si>
  <si>
    <t>ÖSSZ. ÁR</t>
  </si>
  <si>
    <t>D6</t>
  </si>
  <si>
    <t>D8</t>
  </si>
  <si>
    <t>D10</t>
  </si>
  <si>
    <t>D12</t>
  </si>
  <si>
    <t>D14</t>
  </si>
  <si>
    <t>D16</t>
  </si>
  <si>
    <t>D20</t>
  </si>
  <si>
    <t>D25</t>
  </si>
  <si>
    <t>6fm</t>
  </si>
  <si>
    <t>Betonvas samata.hu</t>
  </si>
  <si>
    <t>Betonvasháló samata.hu</t>
  </si>
  <si>
    <t>10m2</t>
  </si>
  <si>
    <t>4,2x150/150</t>
  </si>
  <si>
    <t>5x150/150</t>
  </si>
  <si>
    <t>6x150/150</t>
  </si>
  <si>
    <t>8x150/150</t>
  </si>
  <si>
    <t>5x100/100</t>
  </si>
  <si>
    <t>4x50/50</t>
  </si>
  <si>
    <t>8x200/200</t>
  </si>
  <si>
    <t>10x150/150</t>
  </si>
  <si>
    <t>Kötöződrót</t>
  </si>
  <si>
    <t>Súly/m2</t>
  </si>
  <si>
    <t>Súly kg/fm</t>
  </si>
  <si>
    <t>140fm/10m2</t>
  </si>
  <si>
    <t>Vasszükséglet fm</t>
  </si>
  <si>
    <t>Vasszükséglet m2</t>
  </si>
  <si>
    <t>Súly</t>
  </si>
  <si>
    <t>BETONVAS</t>
  </si>
  <si>
    <t>FAANYAG</t>
  </si>
  <si>
    <t>HOSSZ</t>
  </si>
  <si>
    <t>SZÉLESSÉG</t>
  </si>
  <si>
    <t>ÁR</t>
  </si>
  <si>
    <t>M3/DB</t>
  </si>
  <si>
    <t>ÖSSZ M3</t>
  </si>
  <si>
    <t>ÁR/M3</t>
  </si>
  <si>
    <t>KEREK.HOSSZ</t>
  </si>
  <si>
    <t>SZOBÁK FELETT</t>
  </si>
  <si>
    <t>ZATIK.HU</t>
  </si>
  <si>
    <t>Teraszburkolat vörösfenyő 20mm</t>
  </si>
  <si>
    <t>kémény építése (LEIER v. SHIEDEL)</t>
  </si>
  <si>
    <t>Fugázó 0,5kg/m2</t>
  </si>
  <si>
    <t>Döngölő, lapvibrátor bérlés</t>
  </si>
  <si>
    <t>ALFÖLDI 4037 00</t>
  </si>
  <si>
    <t>T idom</t>
  </si>
  <si>
    <t>esztrichet 21 napig pihentetni kell, utána fűteni, majd burkolni?</t>
  </si>
  <si>
    <t>14db sitteszsák</t>
  </si>
  <si>
    <t>18m2 eps80 2cm</t>
  </si>
  <si>
    <t>200m2 pe fólia</t>
  </si>
  <si>
    <t>menny.</t>
  </si>
  <si>
    <t>gépészet</t>
  </si>
  <si>
    <t>falazás főfal</t>
  </si>
  <si>
    <t>falazás válaszfal</t>
  </si>
  <si>
    <t>C16-24/KK</t>
  </si>
  <si>
    <t>purhab 3db, sziló ragasztó</t>
  </si>
  <si>
    <t>fólia javítás</t>
  </si>
  <si>
    <t>szorítóbilincs</t>
  </si>
  <si>
    <t>mikróhoz dugalj a mikró mögé</t>
  </si>
  <si>
    <t>C10-24/KK</t>
  </si>
  <si>
    <t>bricostore.hu</t>
  </si>
  <si>
    <t>villany</t>
  </si>
  <si>
    <t xml:space="preserve"> </t>
  </si>
  <si>
    <t>nap</t>
  </si>
  <si>
    <t>Belső GK álmennyezet</t>
  </si>
  <si>
    <t>lábazat betonozás</t>
  </si>
  <si>
    <t>villany bekötés, engedély</t>
  </si>
  <si>
    <t>VILLANY</t>
  </si>
  <si>
    <t>műanyag élvédő</t>
  </si>
  <si>
    <t>laminált parketta</t>
  </si>
  <si>
    <t>háló</t>
  </si>
  <si>
    <t>E</t>
  </si>
  <si>
    <t>bádogozás (fallefedés, ereszcsatorna stb.)</t>
  </si>
  <si>
    <t>dugalj</t>
  </si>
  <si>
    <t>koax</t>
  </si>
  <si>
    <t>betét</t>
  </si>
  <si>
    <t>billentyű</t>
  </si>
  <si>
    <t>1kapcs</t>
  </si>
  <si>
    <t>lámpa</t>
  </si>
  <si>
    <t>spot</t>
  </si>
  <si>
    <t>keret</t>
  </si>
  <si>
    <t>1ker</t>
  </si>
  <si>
    <t>2ker</t>
  </si>
  <si>
    <t>3ker</t>
  </si>
  <si>
    <t>4ker</t>
  </si>
  <si>
    <t>5ker</t>
  </si>
  <si>
    <t>DUGALJAKHOZ</t>
  </si>
  <si>
    <t>Vaszi Miklós</t>
  </si>
  <si>
    <t>06203245501</t>
  </si>
  <si>
    <t>földmunka, támfal helyét csinálta</t>
  </si>
  <si>
    <t>bojler</t>
  </si>
  <si>
    <t>villany:</t>
  </si>
  <si>
    <t>konyhában egy vonalba hozni a dugaljakat</t>
  </si>
  <si>
    <t>nappaliban csillárkapcsolóval a spotokat</t>
  </si>
  <si>
    <t>bruttó</t>
  </si>
  <si>
    <t>szériaglett</t>
  </si>
  <si>
    <t>2940/25kg</t>
  </si>
  <si>
    <t>EPS vágó</t>
  </si>
  <si>
    <t>junkers sk300-1 solar</t>
  </si>
  <si>
    <t>netgepesz.hu</t>
  </si>
  <si>
    <t>boattis</t>
  </si>
  <si>
    <t>elektromos patron</t>
  </si>
  <si>
    <t xml:space="preserve">komplett szerelve </t>
  </si>
  <si>
    <t>Danfoss osztó-gyüjtő 12es, 1140m HENCO</t>
  </si>
  <si>
    <t>3,1mm huzal 10kg</t>
  </si>
  <si>
    <t>Cement 2 raklap (32mázsa)</t>
  </si>
  <si>
    <t>4mm vasháló 13 tábla</t>
  </si>
  <si>
    <t>raklapok 7UNI, 2EUR</t>
  </si>
  <si>
    <t>válaszfal</t>
  </si>
  <si>
    <t>szaniter</t>
  </si>
  <si>
    <t>mosdó csaptelep</t>
  </si>
  <si>
    <t>villany alapszerelés</t>
  </si>
  <si>
    <t>villany kapcsolók+lámpák szerelvényezés</t>
  </si>
  <si>
    <t>hőszig. Anyag</t>
  </si>
  <si>
    <t>nettó?, kültériek benne vannak? Kábelcsatornát mikor rakjátok fel?, gipszelés benne van? Ha mindenhol lesz termosztát, az mit jelent? Álmennyezeti lámpák helye mikor kell?</t>
  </si>
  <si>
    <t>ragasztószalag+tépő</t>
  </si>
  <si>
    <t>Sziget-Ma Kft.</t>
  </si>
  <si>
    <t>hőszigetelés</t>
  </si>
  <si>
    <t>vízóra akna</t>
  </si>
  <si>
    <t>dryvit, insta stick youtube, baumit</t>
  </si>
  <si>
    <t>burkolataruhaz.hu</t>
  </si>
  <si>
    <t>csőátmérő</t>
  </si>
  <si>
    <t>mész</t>
  </si>
  <si>
    <t>homok</t>
  </si>
  <si>
    <t>sóder</t>
  </si>
  <si>
    <t>kulékavics 16-32</t>
  </si>
  <si>
    <t>q</t>
  </si>
  <si>
    <t>100/240 VIENNA</t>
  </si>
  <si>
    <t>egyéb szerelvények (relé)</t>
  </si>
  <si>
    <t>szerelvények (dugalj, kapcsoló stb)</t>
  </si>
  <si>
    <t>lámpák, spotok</t>
  </si>
  <si>
    <t>U érték</t>
  </si>
  <si>
    <t>MAG.</t>
  </si>
  <si>
    <t>SZÉL.</t>
  </si>
  <si>
    <t>szobák</t>
  </si>
  <si>
    <t>kolor.hu</t>
  </si>
  <si>
    <t>CERESIT glett 1,7kg/m2</t>
  </si>
  <si>
    <t>csövek, befújók, szigetelés stb</t>
  </si>
  <si>
    <t>szerelvényezés</t>
  </si>
  <si>
    <t>25kg=3500Ft=15m2</t>
  </si>
  <si>
    <t>http://www.agbtuzep.hu</t>
  </si>
  <si>
    <t>1m2=240Ft</t>
  </si>
  <si>
    <t>Fűtési igény:</t>
  </si>
  <si>
    <t>udvar</t>
  </si>
  <si>
    <t>Fűtési szükséglet:</t>
  </si>
  <si>
    <t>Felület</t>
  </si>
  <si>
    <t>Q</t>
  </si>
  <si>
    <t>Fűtési idő/év:</t>
  </si>
  <si>
    <t>Légcsereszám:</t>
  </si>
  <si>
    <t>Fűtött hónap:</t>
  </si>
  <si>
    <t>Passzív szoláris nyereség:</t>
  </si>
  <si>
    <t>dél</t>
  </si>
  <si>
    <t xml:space="preserve">kelet </t>
  </si>
  <si>
    <t>észak</t>
  </si>
  <si>
    <t>nyugat</t>
  </si>
  <si>
    <t>G érték</t>
  </si>
  <si>
    <t>Hatásfok</t>
  </si>
  <si>
    <t>Sugárzás</t>
  </si>
  <si>
    <t>Levegő fajhő:</t>
  </si>
  <si>
    <t>Fűtött térfogat:</t>
  </si>
  <si>
    <t>Szellőzés:</t>
  </si>
  <si>
    <t>Fűtés:</t>
  </si>
  <si>
    <t>Fűtött terület:</t>
  </si>
  <si>
    <t>GÁZ</t>
  </si>
  <si>
    <t>Fűtőérték:</t>
  </si>
  <si>
    <t>Szükséglet:</t>
  </si>
  <si>
    <t>Fűtési költség:</t>
  </si>
  <si>
    <t>Kazán hatásfok:</t>
  </si>
  <si>
    <t>AKÁC</t>
  </si>
  <si>
    <t>Napi fogyasztás:</t>
  </si>
  <si>
    <t>Bojler hatásfok:</t>
  </si>
  <si>
    <t>?</t>
  </si>
  <si>
    <t>belső festés diszperzit 2x gletteléssel</t>
  </si>
  <si>
    <t>belső vakolat gépi felhordással élvédőzéssel</t>
  </si>
  <si>
    <t>alapszerelés anyaggal (szerelvények nélkül)</t>
  </si>
  <si>
    <t>Szárazépítés</t>
  </si>
  <si>
    <t>Betonozási munkák</t>
  </si>
  <si>
    <t>Falazási + vakolási munkák</t>
  </si>
  <si>
    <t>Alapozási munkák</t>
  </si>
  <si>
    <t>Gázkazán hatásfok:</t>
  </si>
  <si>
    <t>HMV költség:</t>
  </si>
  <si>
    <t>áthidaló közl.</t>
  </si>
  <si>
    <t>120/240</t>
  </si>
  <si>
    <t>TÁJOLÁS</t>
  </si>
  <si>
    <t>D</t>
  </si>
  <si>
    <t>NY</t>
  </si>
  <si>
    <t>K</t>
  </si>
  <si>
    <t>mosókonyha</t>
  </si>
  <si>
    <t>Sayerack/db</t>
  </si>
  <si>
    <t>Szellőzési veszteség:</t>
  </si>
  <si>
    <t>Transzmissziós veszteség:</t>
  </si>
  <si>
    <t>Össz. hőveszteség:</t>
  </si>
  <si>
    <t>Szellőzési hőveszteség:</t>
  </si>
  <si>
    <t>Gázár:</t>
  </si>
  <si>
    <t>Vezérelt villany ár:</t>
  </si>
  <si>
    <t>Tűzifa ár:</t>
  </si>
  <si>
    <t>tető készítés</t>
  </si>
  <si>
    <t>ereszburkolás</t>
  </si>
  <si>
    <t>Nappali villany ár:</t>
  </si>
  <si>
    <t>Víz ár:</t>
  </si>
  <si>
    <t>VEZETÉKES VÍZ</t>
  </si>
  <si>
    <t>Víz költség:</t>
  </si>
  <si>
    <t>DT</t>
  </si>
  <si>
    <t>csaptelepek</t>
  </si>
  <si>
    <t>WC</t>
  </si>
  <si>
    <t>bauers.hu</t>
  </si>
  <si>
    <t>padlásfödém</t>
  </si>
  <si>
    <t>KÜLSŐ</t>
  </si>
  <si>
    <t>BELSŐ</t>
  </si>
  <si>
    <t>É</t>
  </si>
  <si>
    <t>tokszélesség:</t>
  </si>
  <si>
    <t>külső ajtók</t>
  </si>
  <si>
    <t>ablakok</t>
  </si>
  <si>
    <t>Villany költség:</t>
  </si>
  <si>
    <t>Szerkezetkész anyagdíj:</t>
  </si>
  <si>
    <t>Szerkezetkész munkadíj:</t>
  </si>
  <si>
    <t>Tetőfólia</t>
  </si>
  <si>
    <t>HMV szükséglet (gázzal):</t>
  </si>
  <si>
    <t>HMV szükséglet (nyáron villanybojler, télen kazán):</t>
  </si>
  <si>
    <t>Össz. Hőszükséglet (gázzal):</t>
  </si>
  <si>
    <t>Össz. hőszükséglet (nyáron villanybojler, télen kazán):</t>
  </si>
  <si>
    <t>Napkollektor</t>
  </si>
  <si>
    <t>75/210 PRÁGA T</t>
  </si>
  <si>
    <t>lakásból</t>
  </si>
  <si>
    <t>most van</t>
  </si>
  <si>
    <t>hitel</t>
  </si>
  <si>
    <t>szocpol</t>
  </si>
  <si>
    <t>40% készültségnél</t>
  </si>
  <si>
    <t>80% készültségnél</t>
  </si>
  <si>
    <t>használatbavételi engedélynél</t>
  </si>
  <si>
    <t>ABLAK FEL.</t>
  </si>
  <si>
    <t>ÜVEG FEL.</t>
  </si>
  <si>
    <t>stile.hu</t>
  </si>
  <si>
    <t>90/210 Ü</t>
  </si>
  <si>
    <t>75/210 T</t>
  </si>
  <si>
    <t>75/210  T</t>
  </si>
  <si>
    <t>csavarok</t>
  </si>
  <si>
    <t>agro-depo.addel.hu</t>
  </si>
  <si>
    <t>hírdetések lemondása</t>
  </si>
  <si>
    <t>telekegyesítés</t>
  </si>
  <si>
    <t>geodéta</t>
  </si>
  <si>
    <t>gázbekötés</t>
  </si>
  <si>
    <t>csatorna</t>
  </si>
  <si>
    <t>kerttervező</t>
  </si>
  <si>
    <t>terv</t>
  </si>
  <si>
    <t>statikus</t>
  </si>
  <si>
    <t>Zsolti</t>
  </si>
  <si>
    <t>Zsizsi</t>
  </si>
  <si>
    <t>Boattis</t>
  </si>
  <si>
    <t>kéményseprő</t>
  </si>
  <si>
    <t>napkollektor</t>
  </si>
  <si>
    <t>fenyvesbau</t>
  </si>
  <si>
    <t>villanyszerelő</t>
  </si>
  <si>
    <t>hova kerüljön a mérő</t>
  </si>
  <si>
    <t>szellőzőgép kondenzvíz elvezetés</t>
  </si>
  <si>
    <t>árajánlatok</t>
  </si>
  <si>
    <t>Tibi</t>
  </si>
  <si>
    <t>egyik vízórát megszüntetni</t>
  </si>
  <si>
    <t>vízelvezetés</t>
  </si>
  <si>
    <t>Gyurika</t>
  </si>
  <si>
    <t>földmunka</t>
  </si>
  <si>
    <t>jelzálog áthelyezés</t>
  </si>
  <si>
    <t>hitelkérelem</t>
  </si>
  <si>
    <t>közművek</t>
  </si>
  <si>
    <t>mennyibe kerül, kinek kell fizetni</t>
  </si>
  <si>
    <t>mikor lesz kb?</t>
  </si>
  <si>
    <t>otthon centrum</t>
  </si>
  <si>
    <t>ingatlan.com</t>
  </si>
  <si>
    <t>ingatlan.net</t>
  </si>
  <si>
    <t>ingatlanok.hu</t>
  </si>
  <si>
    <t>ingatlanbazar.hu</t>
  </si>
  <si>
    <t>lemondva</t>
  </si>
  <si>
    <t>törölve</t>
  </si>
  <si>
    <t>e-otthon.hu</t>
  </si>
  <si>
    <t>aláírni</t>
  </si>
  <si>
    <t>dragep.hu</t>
  </si>
  <si>
    <t>sasabau.hu</t>
  </si>
  <si>
    <t>A/V arány:</t>
  </si>
  <si>
    <t>4-5év</t>
  </si>
  <si>
    <t>hőcserélő</t>
  </si>
  <si>
    <t>ATREA</t>
  </si>
  <si>
    <t>atmos</t>
  </si>
  <si>
    <t>permanent?</t>
  </si>
  <si>
    <t>falfűtés</t>
  </si>
  <si>
    <t>napkollektor pályázat</t>
  </si>
  <si>
    <t>jogerős ép. Engedély kell</t>
  </si>
  <si>
    <t>márciustól</t>
  </si>
  <si>
    <t>vízió 99</t>
  </si>
  <si>
    <t>fafödém:</t>
  </si>
  <si>
    <t>Unimatrix 0</t>
  </si>
  <si>
    <t>passzívház fórum:</t>
  </si>
  <si>
    <t>tigáznak kell fizetni mindent</t>
  </si>
  <si>
    <t>Stiebel Eltron LWZ 170???</t>
  </si>
  <si>
    <t>monolit áthidaló zsaluzás</t>
  </si>
  <si>
    <t>monolit áthidaló betonozás</t>
  </si>
  <si>
    <t>PAUL Atmos 175???</t>
  </si>
  <si>
    <t>összár</t>
  </si>
  <si>
    <t>hossz</t>
  </si>
  <si>
    <t>EB60/19</t>
  </si>
  <si>
    <t>bruttóár/db</t>
  </si>
  <si>
    <t>tomm.hu</t>
  </si>
  <si>
    <t>PTH</t>
  </si>
  <si>
    <t>PTH gerenda</t>
  </si>
  <si>
    <t>PTH60 béléstest</t>
  </si>
  <si>
    <t>áthidaló nappali</t>
  </si>
  <si>
    <t>110/240</t>
  </si>
  <si>
    <t>150/240</t>
  </si>
  <si>
    <t>10cm-es</t>
  </si>
  <si>
    <t>egyéb</t>
  </si>
  <si>
    <t>bruttó ár/m2</t>
  </si>
  <si>
    <t>leier mester</t>
  </si>
  <si>
    <t>agbtuzep.hu</t>
  </si>
  <si>
    <r>
      <t>Piramis Építőház</t>
    </r>
    <r>
      <rPr>
        <sz val="13.5"/>
        <rFont val="Times New Roman"/>
        <family val="1"/>
      </rPr>
      <t xml:space="preserve"> </t>
    </r>
  </si>
  <si>
    <t>hőszigetelés fektetés EPS</t>
  </si>
  <si>
    <t>hőszigetelés fektetés XPS</t>
  </si>
  <si>
    <t>kavicságy 15cm, tömörítve</t>
  </si>
  <si>
    <t>SZEMÉTSZÁLL.</t>
  </si>
  <si>
    <t>Költség:</t>
  </si>
  <si>
    <t>120/60 B</t>
  </si>
  <si>
    <t>Fűtési + HMV költség:</t>
  </si>
  <si>
    <t>ISOFLEX ALU PZ</t>
  </si>
  <si>
    <t>topik</t>
  </si>
  <si>
    <t>szentendrei</t>
  </si>
  <si>
    <t>norman.hu</t>
  </si>
  <si>
    <t>Főfal</t>
  </si>
  <si>
    <t>Válaszfal</t>
  </si>
  <si>
    <t>víz+csatorna alapszerelés</t>
  </si>
  <si>
    <t>4cm+gerendákra 15liter/fm</t>
  </si>
  <si>
    <t>Leier mesterfödém</t>
  </si>
  <si>
    <t>Felbeton</t>
  </si>
  <si>
    <t>takarással 20%</t>
  </si>
  <si>
    <t>B&amp;D KG2000 flex</t>
  </si>
  <si>
    <t>B&amp;D KD960KC fúró</t>
  </si>
  <si>
    <t>B&amp;D fúrókészlet</t>
  </si>
  <si>
    <t>d12 bekötővas</t>
  </si>
  <si>
    <t>d8 keresztvasalás</t>
  </si>
  <si>
    <t>párnafa</t>
  </si>
  <si>
    <t>Bolbi</t>
  </si>
  <si>
    <t>30/205-11-48</t>
  </si>
  <si>
    <t>egy szellőztető rendszereket forgalmazó cégnél dolgozik (HELIOS)</t>
  </si>
  <si>
    <t>RIGIPS 12,5mm impegnált/tűzgátló</t>
  </si>
  <si>
    <t>szelemen 15/15</t>
  </si>
  <si>
    <t>ellenléc 5/5</t>
  </si>
  <si>
    <t>kúpcserép</t>
  </si>
  <si>
    <t>szellőzőcserép</t>
  </si>
  <si>
    <t>3as kúpcserép</t>
  </si>
  <si>
    <t>1db/10m2=23db</t>
  </si>
  <si>
    <t>víz+csatorna belső csövezés+szerelvényezés</t>
  </si>
  <si>
    <t>lábazat hőszigetelés készítés+szinezés</t>
  </si>
  <si>
    <t>homlokzat hőszigetelés készítés+szinezés</t>
  </si>
  <si>
    <t>Extrák</t>
  </si>
  <si>
    <t>Külső</t>
  </si>
  <si>
    <t>Belső</t>
  </si>
  <si>
    <t>szigeteljen.hu</t>
  </si>
  <si>
    <t>GK tartó profil, függesztő</t>
  </si>
  <si>
    <t>Áram szükséglet X3:</t>
  </si>
  <si>
    <t>EB60/19 záróelem</t>
  </si>
  <si>
    <t>norman.hu felhívni</t>
  </si>
  <si>
    <t>leier mesterfödém</t>
  </si>
  <si>
    <t>MNA áth.</t>
  </si>
  <si>
    <t>Falazóhabarcs</t>
  </si>
  <si>
    <t>baumit f30 habarcs</t>
  </si>
  <si>
    <t>zsák/raklap</t>
  </si>
  <si>
    <t>20kg/m2/1,5cm</t>
  </si>
  <si>
    <t>mth10</t>
  </si>
  <si>
    <t>veneto cserép 25foknál hány db/m2</t>
  </si>
  <si>
    <t>ytong nf 250 p4</t>
  </si>
  <si>
    <t>ytong pve nf 100</t>
  </si>
  <si>
    <t>bitumenes szig. Prima v33</t>
  </si>
  <si>
    <t>ereszcsatorna?</t>
  </si>
  <si>
    <t>Imi</t>
  </si>
  <si>
    <t>Melinda konyha</t>
  </si>
  <si>
    <t>Manole felmérni a munkát</t>
  </si>
  <si>
    <t>Ágoston János ajánlat</t>
  </si>
  <si>
    <t>Trosztel Zsolt</t>
  </si>
  <si>
    <t>MGX</t>
  </si>
  <si>
    <t>vezérlések</t>
  </si>
  <si>
    <t>netgepesz.hu 220ft/m</t>
  </si>
  <si>
    <t>4250 piktorfestek.hu szendre</t>
  </si>
  <si>
    <t>aljzat vízszig</t>
  </si>
  <si>
    <t>szellőzés</t>
  </si>
  <si>
    <t>Gépi gyorsvakolás!</t>
  </si>
  <si>
    <t>Bild 2010 Kft. vállal külső - belső gépi vakolást nagyon kedvező áron</t>
  </si>
  <si>
    <t>Budapest és 50 km - es vonzáskörzetében</t>
  </si>
  <si>
    <t>Belső vakolás: 1350 Ft/nm -anyagosan, munkadíjjal együtt</t>
  </si>
  <si>
    <t>Csak munkadíj - 650 Ft/nm</t>
  </si>
  <si>
    <t>Külső vakolás: 1600 - 2000 Ft/nm között - anyagosan, munkadíjjal együtt</t>
  </si>
  <si>
    <t>Homlokzati szigetelés ( dryvitozás ): 2000 Ft/nm ( csak munkadíj )</t>
  </si>
  <si>
    <t>Anyagosan: megegyezés szerint ( vastagságtól függően )</t>
  </si>
  <si>
    <t>Ajzat betonozás: 950 Ft/nm - csak munkadíj ( 7 cm - ig )</t>
  </si>
  <si>
    <t>Manole Róbert - 0630/611-30-33</t>
  </si>
  <si>
    <t>tervezési, szerelési díj</t>
  </si>
  <si>
    <t>vezérlés</t>
  </si>
  <si>
    <t>Praktiker</t>
  </si>
  <si>
    <t>Piktorfesték</t>
  </si>
  <si>
    <t>purhab 6flakon</t>
  </si>
  <si>
    <t>purhab 2flakon</t>
  </si>
  <si>
    <t>kerti csap, adapter</t>
  </si>
  <si>
    <t>víztisztító</t>
  </si>
  <si>
    <t>szerelt kémény</t>
  </si>
  <si>
    <t>kolozs ferenc</t>
  </si>
  <si>
    <t>kémény</t>
  </si>
  <si>
    <t>http://sebokestsa.hu/ awadukt hívni</t>
  </si>
  <si>
    <t>energotrade hívni</t>
  </si>
  <si>
    <t>zsizsi hívni</t>
  </si>
  <si>
    <t>Belső párazáró fólia????</t>
  </si>
  <si>
    <t>egyéb anyag</t>
  </si>
  <si>
    <t>normantól</t>
  </si>
  <si>
    <t>munkadíj</t>
  </si>
  <si>
    <t>tető alá hozni:</t>
  </si>
  <si>
    <t>Hulladékhő:</t>
  </si>
  <si>
    <t>Transzmissziós hőveszteség:</t>
  </si>
  <si>
    <t>Fűtési napfok MO.:</t>
  </si>
  <si>
    <t>esővízelvezetés?</t>
  </si>
  <si>
    <t>szivárgó, hogyan?, esővíz</t>
  </si>
  <si>
    <t>külső fal belső felülete</t>
  </si>
  <si>
    <t>180/210 FIX</t>
  </si>
  <si>
    <t>topik!!!!! Kicsinálta?</t>
  </si>
  <si>
    <t>Szorzó</t>
  </si>
  <si>
    <t>leier veneto 25fokra jó? Mi kell?</t>
  </si>
  <si>
    <t>lábazat zsaluzás</t>
  </si>
  <si>
    <t>vasszerelés (minden vasszerelés)</t>
  </si>
  <si>
    <t>12cm vasalt aljzatbeton betonozás</t>
  </si>
  <si>
    <t>bitumenes vízszig. fektetés 2rtg. Vízszintesen</t>
  </si>
  <si>
    <t>bitumenes vízszig. fektetés 1rtg. Függőlegesen lábazatra</t>
  </si>
  <si>
    <t>koszorú betonozás</t>
  </si>
  <si>
    <t>hőszigetelés fektetés XPS 3cm</t>
  </si>
  <si>
    <t>homlokzat hőszigetelés készítés szinezéssel</t>
  </si>
  <si>
    <t>lábazat hőszigetelés készítés szinezéssel</t>
  </si>
  <si>
    <t>monolit vb áthidaló zsaluzás</t>
  </si>
  <si>
    <t>monolit vb áthidaló betonozás</t>
  </si>
  <si>
    <t>Leier áthidaló beemelése</t>
  </si>
  <si>
    <t>7cm aljzatbeton (esztrich) betonozás földszint</t>
  </si>
  <si>
    <t>4cm felbeton Leier mesterfödémre</t>
  </si>
  <si>
    <t>Leier mesterfödém készítés</t>
  </si>
  <si>
    <t>gipszkarton álmennyezet földszinten fémvázra 20cm</t>
  </si>
  <si>
    <t>alap gépi ásás utáni kézi igazítás</t>
  </si>
  <si>
    <t>kavicságy feketetés 15cm, tömörítve</t>
  </si>
  <si>
    <t>hmv</t>
  </si>
  <si>
    <t>fűtés</t>
  </si>
  <si>
    <t>1hét</t>
  </si>
  <si>
    <t>http://www.tremco-illbruck.cz/cz/produkty/00672_index.html?markets=10&amp;applications=53&amp;products=1134&amp;char=T</t>
  </si>
  <si>
    <t>soudal butil tömítő a jó!!!</t>
  </si>
  <si>
    <t>vízmérték index-en</t>
  </si>
  <si>
    <t>Sanyinak fizura</t>
  </si>
  <si>
    <t>100m2 pe fólia aljzatbetont letakarni</t>
  </si>
  <si>
    <t>költőpénznek</t>
  </si>
  <si>
    <t>van a borítékban</t>
  </si>
  <si>
    <t>Nóri anyutól</t>
  </si>
  <si>
    <t>Munkanemek és munkafolyamatok  megnevezése</t>
  </si>
  <si>
    <t>(csak az elvégzett vagy tervezett munkák adatait kell kitölteni a költségvetés készítőjének)</t>
  </si>
  <si>
    <t>A munkanem tervezett költsége</t>
  </si>
  <si>
    <t>(Ft)</t>
  </si>
  <si>
    <t>A munkanem költség és az összes költségaránya (%)</t>
  </si>
  <si>
    <t>Ajánlott</t>
  </si>
  <si>
    <t>Tervezett</t>
  </si>
  <si>
    <t xml:space="preserve">Megvalósult </t>
  </si>
  <si>
    <t>(a)</t>
  </si>
  <si>
    <t>(b)</t>
  </si>
  <si>
    <t>(c)</t>
  </si>
  <si>
    <t>(d)</t>
  </si>
  <si>
    <t>(e)</t>
  </si>
  <si>
    <t>Földmunka</t>
  </si>
  <si>
    <t>Zsaluzás és állványozás</t>
  </si>
  <si>
    <t>Síkalapozás</t>
  </si>
  <si>
    <t xml:space="preserve">Helyszíni beton és vasbeton munkák </t>
  </si>
  <si>
    <t>Előregyártott szerkezetek</t>
  </si>
  <si>
    <t>Falazás és egyéb kőművesmunka</t>
  </si>
  <si>
    <t>Ácsmunka</t>
  </si>
  <si>
    <t>Vakolás</t>
  </si>
  <si>
    <t>Bádogos szerkezetek</t>
  </si>
  <si>
    <t>Asztalos szerkezetek elhelyezése</t>
  </si>
  <si>
    <t>Üvegesmunka</t>
  </si>
  <si>
    <t>Felületképzés, festés-mázolás, tap.</t>
  </si>
  <si>
    <t>Szigetelések</t>
  </si>
  <si>
    <t>Belső villanyszerelés</t>
  </si>
  <si>
    <t>Belső víz és csatornaszerelés</t>
  </si>
  <si>
    <t>Központifűtés szerelés</t>
  </si>
  <si>
    <t>Belső gázszerelés</t>
  </si>
  <si>
    <t xml:space="preserve">  - munkagödör és munkaárok kiemelése</t>
  </si>
  <si>
    <t xml:space="preserve">  - földvisszatöltés tömörítéssel</t>
  </si>
  <si>
    <t xml:space="preserve">  - vb szerk. zsaluzása </t>
  </si>
  <si>
    <t xml:space="preserve">  - könnyű homlokzati állványszerkezet </t>
  </si>
  <si>
    <t xml:space="preserve">  - beton kút- és sávalap készítése </t>
  </si>
  <si>
    <t xml:space="preserve">  - betonacél szerelése</t>
  </si>
  <si>
    <t xml:space="preserve">  - vb. szerkezetek betonozása</t>
  </si>
  <si>
    <t xml:space="preserve">  - betonaljzat és padlóburkolatok készítése</t>
  </si>
  <si>
    <t xml:space="preserve">  - járda készítése</t>
  </si>
  <si>
    <t xml:space="preserve">  - teherhordó falazatok készítése</t>
  </si>
  <si>
    <t xml:space="preserve">  - válasz falazatok készítése</t>
  </si>
  <si>
    <t xml:space="preserve">  - falazott kémény készítése  </t>
  </si>
  <si>
    <t xml:space="preserve">  - fedélszerkezetek készítése, lécezéssel</t>
  </si>
  <si>
    <t xml:space="preserve">  - gomba- és lángmentesítés</t>
  </si>
  <si>
    <t xml:space="preserve">  - deszkázások készítése </t>
  </si>
  <si>
    <t xml:space="preserve">  - fóliaterítés fedőanyag alá</t>
  </si>
  <si>
    <t xml:space="preserve">  - fedőanyag (cserép, pala, stb.) felhelyezése</t>
  </si>
  <si>
    <t xml:space="preserve">  - tartozékok elhelyezése</t>
  </si>
  <si>
    <t xml:space="preserve">  - oldalfal- és mennyezetvakolás</t>
  </si>
  <si>
    <t xml:space="preserve">  - homlokzatvakolás, homlokzatképzés,</t>
  </si>
  <si>
    <t xml:space="preserve">  - csempeburkolatok készítése</t>
  </si>
  <si>
    <t xml:space="preserve">  - szőnyegpadló szegélyléccel</t>
  </si>
  <si>
    <t xml:space="preserve">  - egy.műkő burkolatok készítése</t>
  </si>
  <si>
    <t xml:space="preserve">  - gipszkartonburkolat készítése</t>
  </si>
  <si>
    <t xml:space="preserve">  - ablakpárkány könyöklő készítése</t>
  </si>
  <si>
    <t xml:space="preserve">  - párkányba szerelt csatorna </t>
  </si>
  <si>
    <t xml:space="preserve">  - függőeresz és lefolyócsatorna</t>
  </si>
  <si>
    <t xml:space="preserve">  - szegélyek, párkányok, hajlatok, hófogók</t>
  </si>
  <si>
    <t xml:space="preserve">  - fa, műanyag nyílászárók elhelyezése</t>
  </si>
  <si>
    <t xml:space="preserve">  - asztalos munka, mérőhelyek és kapcsolószekrény elkészítése</t>
  </si>
  <si>
    <t xml:space="preserve">  - típus konyhabútorok elhelyezése</t>
  </si>
  <si>
    <t xml:space="preserve">  - garázskapu leszállítása és elhelyezése</t>
  </si>
  <si>
    <t xml:space="preserve">  - acél nyílászárók elhelyezése</t>
  </si>
  <si>
    <t xml:space="preserve">  - korlátok készítése </t>
  </si>
  <si>
    <t xml:space="preserve">  - mészfestés vakolt felületen három rétegben</t>
  </si>
  <si>
    <t xml:space="preserve">  - műanyag diszperziós festés két rétegben</t>
  </si>
  <si>
    <t xml:space="preserve">  - tapétázás, mázolások készítése </t>
  </si>
  <si>
    <t xml:space="preserve">  - hő- és hangszigetelések készítése</t>
  </si>
  <si>
    <t xml:space="preserve">  - ablak körüli hézagok tömörítése    </t>
  </si>
  <si>
    <t xml:space="preserve">  - védőcső elhelyezése</t>
  </si>
  <si>
    <t xml:space="preserve">  - szigetelt vezeték védőcsőbe húzva </t>
  </si>
  <si>
    <t xml:space="preserve">  - villám-és érintésvédelmi hálózat szerelése</t>
  </si>
  <si>
    <t xml:space="preserve">  - világítási szerelvények, ber. elhelyezése</t>
  </si>
  <si>
    <t xml:space="preserve">  - csatlakozóhelyek készítése</t>
  </si>
  <si>
    <t xml:space="preserve">  - modul rendszerű kaputelefon bekötéssel </t>
  </si>
  <si>
    <t xml:space="preserve">  - nyomócső és idomok szerelése</t>
  </si>
  <si>
    <t xml:space="preserve">  - nyomóvezeték szerelése</t>
  </si>
  <si>
    <t xml:space="preserve">  - lefolyóvezeték és idomainak szerelése</t>
  </si>
  <si>
    <t xml:space="preserve">  - nyomáspróba és fertőtlenítés</t>
  </si>
  <si>
    <t xml:space="preserve">  - ép.gép. szerelvények, berendezések szerel.</t>
  </si>
  <si>
    <t xml:space="preserve">  - fűtési vezeték készítése védőcsőbe</t>
  </si>
  <si>
    <t xml:space="preserve">  - radiátor szerelése</t>
  </si>
  <si>
    <t xml:space="preserve">  - gázvezeték hegesztett kötéssel</t>
  </si>
  <si>
    <t xml:space="preserve">  - szerelvények és berendezések el helyezése</t>
  </si>
  <si>
    <t xml:space="preserve">  - felületképzések – nyomáspróba</t>
  </si>
  <si>
    <t xml:space="preserve">  - humuszleszedés</t>
  </si>
  <si>
    <t>víz+szennyvíz</t>
  </si>
  <si>
    <t>víz</t>
  </si>
  <si>
    <t>fal+padló</t>
  </si>
  <si>
    <t xml:space="preserve">  - talajnedvesség elleni szigetelés készítése</t>
  </si>
  <si>
    <t>Lakatos szerkezetek elhelyezése és fémszerkezetek szerelése</t>
  </si>
  <si>
    <t xml:space="preserve">  - fa szerkezetű és acélszerkezetű nyílászárók üvegezése</t>
  </si>
  <si>
    <t xml:space="preserve">  - előre gyártott beton és vb. szerkezetek beemelése és elhelyezése </t>
  </si>
  <si>
    <t>Összes hasznos alapterület:</t>
  </si>
  <si>
    <t>Építtető neve:</t>
  </si>
  <si>
    <t>Tervezett összes építési költség:</t>
  </si>
  <si>
    <t>Fajlagos építési költség:</t>
  </si>
  <si>
    <t>Ingatlan jellege:</t>
  </si>
  <si>
    <t>Ingatlan címe:</t>
  </si>
  <si>
    <t>2000 Szentendre, Berkenye utca 74. Hrsz. 5603</t>
  </si>
  <si>
    <t>1 lakásos családi lakóház</t>
  </si>
  <si>
    <t>Németh Csaba, Kunkli Nóra</t>
  </si>
  <si>
    <t>KÖLTSÉGVETÉS</t>
  </si>
  <si>
    <t>új vízóra akna</t>
  </si>
  <si>
    <t>hófogóelem</t>
  </si>
  <si>
    <t>Roll O Mat élgerincelem</t>
  </si>
  <si>
    <t>kezdő kúpcserép</t>
  </si>
  <si>
    <t>egyéb cucc</t>
  </si>
  <si>
    <t>2,7db/1fm</t>
  </si>
  <si>
    <t>isowind f1 párazáró szalag az ablakokhoz</t>
  </si>
  <si>
    <t>HungryTA</t>
  </si>
  <si>
    <t>zsalu fuvar vissza</t>
  </si>
  <si>
    <t>zuhanyzó mögött egykomponensű szigetelés kenhető</t>
  </si>
  <si>
    <t>ereszfestés</t>
  </si>
  <si>
    <t>közlekedő bal</t>
  </si>
  <si>
    <t>közlekedő jobb</t>
  </si>
  <si>
    <t>Ventilatorshop Wilhelm Albers GmbH</t>
  </si>
  <si>
    <t>talajkollektor</t>
  </si>
  <si>
    <t>pellet fórum</t>
  </si>
  <si>
    <t>ahány KW max hőigény, annyi m3 pellet 1t=2m3</t>
  </si>
  <si>
    <t>Jesu</t>
  </si>
  <si>
    <t>ecoidro</t>
  </si>
  <si>
    <t>Kitzoli</t>
  </si>
  <si>
    <t>www.inter-pellet.com</t>
  </si>
  <si>
    <t>40ft/kg</t>
  </si>
  <si>
    <t>edilkamin ecoidro</t>
  </si>
  <si>
    <t>beszívónak Vízóra akna</t>
  </si>
  <si>
    <t>tetőre felrakható-e így?, benapozás szerint mekkora a hozam</t>
  </si>
  <si>
    <t>árajánlat kérés komplett awadukttal</t>
  </si>
  <si>
    <t>anyagra</t>
  </si>
  <si>
    <t>Flex Fény</t>
  </si>
  <si>
    <t>kanál, fangli, vízmérték, vödör, kalapács, mérőszalag, glettvas</t>
  </si>
  <si>
    <t>Z+K Euró</t>
  </si>
  <si>
    <t>nyílászáró</t>
  </si>
  <si>
    <t>5zsák LB Knauf PS ragasztó</t>
  </si>
  <si>
    <t>milyen kémény kell, mekkora? Pellethez</t>
  </si>
  <si>
    <t>fajlagos hőveszteségtényező:</t>
  </si>
  <si>
    <t>Nettó fűtési igény egyszerű:</t>
  </si>
  <si>
    <t>Egyszerű számítás szerint</t>
  </si>
  <si>
    <t>Egyensúlyi hömérsékletkülönbség:</t>
  </si>
  <si>
    <t>Nettó fűtési igény részletes:</t>
  </si>
  <si>
    <t>lábazat vonalmenti</t>
  </si>
  <si>
    <t>Felület/hossz</t>
  </si>
  <si>
    <t>Részletes számítás szerint</t>
  </si>
  <si>
    <t>benécs józsef</t>
  </si>
  <si>
    <t>passzívház fórum 12900 körüli hszek</t>
  </si>
  <si>
    <t>szellőzés csövezés</t>
  </si>
  <si>
    <t>prokoncept 700 körül hszek</t>
  </si>
  <si>
    <t>421+áfa</t>
  </si>
  <si>
    <t>kendre256</t>
  </si>
  <si>
    <t>VILLANY HMV</t>
  </si>
  <si>
    <t>FAKAZÁN HMV</t>
  </si>
  <si>
    <t>sima ház</t>
  </si>
  <si>
    <t>PELLET HMV</t>
  </si>
  <si>
    <t>GÁZ HMV</t>
  </si>
  <si>
    <t>földvisszatöltés lábazatok közé, tömörítve</t>
  </si>
  <si>
    <t>ferdén rakni a szigetelést az ablakra</t>
  </si>
  <si>
    <t>befúvási elosztó előtt 125W-os hősugárzó</t>
  </si>
  <si>
    <t>peterch</t>
  </si>
  <si>
    <t>esővízelvetés földben pk csövekkel a tartályba</t>
  </si>
  <si>
    <t>100m2 tetőről 50-60m3 víz</t>
  </si>
  <si>
    <t>megaház telefon</t>
  </si>
  <si>
    <t>önkormányzat telefon telek, szennyvíztisztító</t>
  </si>
  <si>
    <t>hosszabítóelemmel ferdetetős keret kiemeléséhez</t>
  </si>
  <si>
    <t>passzivhaz.info.hu, PHPP számítás</t>
  </si>
  <si>
    <t>Összeg</t>
  </si>
  <si>
    <t>Somlyai Mihály</t>
  </si>
  <si>
    <t>Kinek</t>
  </si>
  <si>
    <t>Mire</t>
  </si>
  <si>
    <t>Földhivatal</t>
  </si>
  <si>
    <t>térképmásolat, tul.lap.</t>
  </si>
  <si>
    <t>telekalakítási vázrajz</t>
  </si>
  <si>
    <t>Ügyvédi költség 5603</t>
  </si>
  <si>
    <t>Ügyvédi költség 5604</t>
  </si>
  <si>
    <t>telektisztítás 5603</t>
  </si>
  <si>
    <t>telektisztítás 5604</t>
  </si>
  <si>
    <t>sziló kinyomó</t>
  </si>
  <si>
    <t>támfal rakás 34db</t>
  </si>
  <si>
    <t>mérőszalag</t>
  </si>
  <si>
    <t>1db purhab, fix all sziló</t>
  </si>
  <si>
    <t>wc 3,6x2</t>
  </si>
  <si>
    <t>zuhanyzó 5,5x2</t>
  </si>
  <si>
    <t>nem kell engedélyeztetni 2008jan1-től, csak közjegyzői engedély kell</t>
  </si>
  <si>
    <t>vízművek</t>
  </si>
  <si>
    <t>pannonpellet</t>
  </si>
  <si>
    <t>Sziga-Tech Bt.</t>
  </si>
  <si>
    <t>EPS80 53m3 homlokzatra</t>
  </si>
  <si>
    <t>szigetelés</t>
  </si>
  <si>
    <t>házon:</t>
  </si>
  <si>
    <t>minden nyílást megmérni</t>
  </si>
  <si>
    <t>lepakolni a padlásról</t>
  </si>
  <si>
    <t>OSB 12es NF</t>
  </si>
  <si>
    <t>padlószig</t>
  </si>
  <si>
    <t>szelemen mellett</t>
  </si>
  <si>
    <t>padlásszig</t>
  </si>
  <si>
    <t>szilikon vakolat kell!!!!</t>
  </si>
  <si>
    <t>dűbelt téglába csak fúrni szabad!!!!</t>
  </si>
  <si>
    <t>szigatech</t>
  </si>
  <si>
    <t>Baumit szilikon görd. 2mm vakolat alapozóval</t>
  </si>
  <si>
    <t>revco fix foam 1850</t>
  </si>
  <si>
    <t>Baumit ragasztó tapasz 5kg/m2</t>
  </si>
  <si>
    <t>HIRSCH XPS</t>
  </si>
  <si>
    <t>6m2/750ml</t>
  </si>
  <si>
    <t>1.réteg pur ragasztó</t>
  </si>
  <si>
    <t>2.réteg pur ragasztó</t>
  </si>
  <si>
    <t>eps fűrész</t>
  </si>
  <si>
    <t>PIPA EGYSÉGÁR</t>
  </si>
  <si>
    <t>PIPA MUNKADÍJ</t>
  </si>
  <si>
    <t>villas EO-G 4 F/K Extra</t>
  </si>
  <si>
    <t>stafni 5/5</t>
  </si>
  <si>
    <t>bramac léc 3/5</t>
  </si>
  <si>
    <t>deszka 2,5/10</t>
  </si>
  <si>
    <t>deszka 2,5/15</t>
  </si>
  <si>
    <t>stafni 5/10</t>
  </si>
  <si>
    <t>Maradék fa</t>
  </si>
  <si>
    <t>MUNKADÍJ</t>
  </si>
  <si>
    <t>MUNKADÍJ TIBI</t>
  </si>
  <si>
    <t>66fm vsz csatorna, 16fm függ lefolyó</t>
  </si>
  <si>
    <t>60x60</t>
  </si>
  <si>
    <t>bej1</t>
  </si>
  <si>
    <t>bej2</t>
  </si>
  <si>
    <t>120x60</t>
  </si>
  <si>
    <t>180x240</t>
  </si>
  <si>
    <t>90x210</t>
  </si>
  <si>
    <t>150x150</t>
  </si>
  <si>
    <t xml:space="preserve">a bojler melegvizét a mosógépbe és mosogatógépbe vezetni </t>
  </si>
  <si>
    <t>autóbeálló felett kajaktároló</t>
  </si>
  <si>
    <t>Egyéb</t>
  </si>
  <si>
    <t>változás bejelentés</t>
  </si>
  <si>
    <t>mth30</t>
  </si>
  <si>
    <t>Önkormányzat</t>
  </si>
  <si>
    <t>illetékbélyeg</t>
  </si>
  <si>
    <t>letámasztás, torokger. Stb.</t>
  </si>
  <si>
    <t>zsalukő rakás, betonozás, vasalás</t>
  </si>
  <si>
    <t>külső szöglet</t>
  </si>
  <si>
    <t>belső szöglet</t>
  </si>
  <si>
    <t>ár/db</t>
  </si>
  <si>
    <t>ár</t>
  </si>
  <si>
    <t>betorkoló csonk</t>
  </si>
  <si>
    <t>csőkönyök</t>
  </si>
  <si>
    <t>könyök közdarab</t>
  </si>
  <si>
    <t>csőbilincs</t>
  </si>
  <si>
    <t>lindab norman.hu</t>
  </si>
  <si>
    <t>ereszcsatorna 150es</t>
  </si>
  <si>
    <t>lefolyócső 100as</t>
  </si>
  <si>
    <t>db, m</t>
  </si>
  <si>
    <t>kifolyókönyök</t>
  </si>
  <si>
    <t>csatornakampó KFL</t>
  </si>
  <si>
    <t>alapszerelés anyagai</t>
  </si>
  <si>
    <t>rit-poly.hu</t>
  </si>
  <si>
    <t>4m3</t>
  </si>
  <si>
    <t>1hónap a gyártás</t>
  </si>
  <si>
    <t>3m3 150/165</t>
  </si>
  <si>
    <t>5m3 150/213</t>
  </si>
  <si>
    <t>8m3 150/270 ~300kg</t>
  </si>
  <si>
    <t>KMT tégla</t>
  </si>
  <si>
    <t>7cm vtg.</t>
  </si>
  <si>
    <t>75fm</t>
  </si>
  <si>
    <t>Felbeton leier</t>
  </si>
  <si>
    <t>4320/AMPER</t>
  </si>
  <si>
    <t>feltöltés</t>
  </si>
  <si>
    <t>Szőke Barnabás</t>
  </si>
  <si>
    <t>vízszerelő</t>
  </si>
  <si>
    <t>06203392286</t>
  </si>
  <si>
    <t>Hudek Ferenc</t>
  </si>
  <si>
    <t>06209281963</t>
  </si>
  <si>
    <t>Virág János</t>
  </si>
  <si>
    <t>06203408176</t>
  </si>
  <si>
    <t>Drexler Péter</t>
  </si>
  <si>
    <t>épanyag, szállítás</t>
  </si>
  <si>
    <t>06209442333</t>
  </si>
  <si>
    <t>Krisztián</t>
  </si>
  <si>
    <t>06209274146</t>
  </si>
  <si>
    <t>Szabó László</t>
  </si>
  <si>
    <t>06209370745</t>
  </si>
  <si>
    <t>Mócsai András</t>
  </si>
  <si>
    <t>06309914732</t>
  </si>
  <si>
    <t>Samata Kft</t>
  </si>
  <si>
    <t>vas</t>
  </si>
  <si>
    <t>kötöződrót</t>
  </si>
  <si>
    <t>nettó</t>
  </si>
  <si>
    <t>drexler</t>
  </si>
  <si>
    <t>Ömlesztett árú</t>
  </si>
  <si>
    <t>tibitől</t>
  </si>
  <si>
    <t>mennyiér csinálja az ember a betont, ha minden anyag nélkül?</t>
  </si>
  <si>
    <t>porotherm Raklap</t>
  </si>
  <si>
    <t>ytong Raklap</t>
  </si>
  <si>
    <t>leier zsalukő Raklap</t>
  </si>
  <si>
    <t>baumit 30 Raklap</t>
  </si>
  <si>
    <t>DMRV Rt.</t>
  </si>
  <si>
    <t>átiratás 74.</t>
  </si>
  <si>
    <t>betoncserép tetőfedés</t>
  </si>
  <si>
    <t>Kékember</t>
  </si>
  <si>
    <t>http://www.halmos.hu/ragasztoestomitoanyagok/gerbandszalagok/femesfemhatasuragasztok/aluminiumragasztoszalagg705100m.php</t>
  </si>
  <si>
    <t>fischer HM 6x65 üreges dűbel 3db</t>
  </si>
  <si>
    <t>fischer sds 12, sima 12 fúrófej</t>
  </si>
  <si>
    <t>SEWT-E 100fm cső</t>
  </si>
  <si>
    <t>elektronetshop.de</t>
  </si>
  <si>
    <t>Juratherm 825 szigeteléssel</t>
  </si>
  <si>
    <t>belső nyílászárók</t>
  </si>
  <si>
    <t>ALFÖLDI 4123 41 (40x25)</t>
  </si>
  <si>
    <t>ALFÖLDI 4191 60 (60x49)</t>
  </si>
  <si>
    <t>konyha-étkező 4,2x0,8</t>
  </si>
  <si>
    <t>fürdő 9x2</t>
  </si>
  <si>
    <t>ELMÜ bekötés</t>
  </si>
  <si>
    <t>Kategória</t>
  </si>
  <si>
    <t>telek</t>
  </si>
  <si>
    <t>2008</t>
  </si>
  <si>
    <t>2009</t>
  </si>
  <si>
    <t>feladva</t>
  </si>
  <si>
    <t>leier béléstest Raklap</t>
  </si>
  <si>
    <t>Főző József</t>
  </si>
  <si>
    <t>szomszéd</t>
  </si>
  <si>
    <t>0613864934</t>
  </si>
  <si>
    <t>berényi u. 9b, alsóhegy 4-6, avar útról</t>
  </si>
  <si>
    <t>Hasznosítási tényező</t>
  </si>
  <si>
    <t>Téli szol. nyer.</t>
  </si>
  <si>
    <t>Határhőm</t>
  </si>
  <si>
    <t>Belmagasság</t>
  </si>
  <si>
    <t xml:space="preserve">Lábazatszigetelés </t>
  </si>
  <si>
    <t>lehet-e? 1,50métert lehet tölteni</t>
  </si>
  <si>
    <t>Dr. Végh Enikő Dr. Zaka Jánosné</t>
  </si>
  <si>
    <t>Baumit 30 7 zsák</t>
  </si>
  <si>
    <t>8db raklap vissza</t>
  </si>
  <si>
    <t>Baumit 30 25 zsák</t>
  </si>
  <si>
    <t>PTH10NF 6 raklap</t>
  </si>
  <si>
    <t>Villas EO-G F/K 12tekercs</t>
  </si>
  <si>
    <t>vízszigetelés</t>
  </si>
  <si>
    <t>d4,2-15x15 háló</t>
  </si>
  <si>
    <t>Pipa</t>
  </si>
  <si>
    <t>Baumit 30 8 zsák</t>
  </si>
  <si>
    <t>PTH10NF 1 raklap</t>
  </si>
  <si>
    <t>aljzatbeton</t>
  </si>
  <si>
    <t>marad</t>
  </si>
  <si>
    <t>0613862812</t>
  </si>
  <si>
    <t>földmunka, szomszéd</t>
  </si>
  <si>
    <t>Barna Eszter</t>
  </si>
  <si>
    <t>engterv</t>
  </si>
  <si>
    <t>kertterv</t>
  </si>
  <si>
    <t>kerület</t>
  </si>
  <si>
    <t>hátralék</t>
  </si>
  <si>
    <t>cement</t>
  </si>
  <si>
    <t>fuvar</t>
  </si>
  <si>
    <t>hűtő csőkígyóból hőt kivenni valahogy</t>
  </si>
  <si>
    <t>szennyvízakna fagyhatár alá?</t>
  </si>
  <si>
    <t>pelletkazán kéményt egy dobozba vezetni a befúvott levegő csővel egy darabon</t>
  </si>
  <si>
    <t>térképmásolat</t>
  </si>
  <si>
    <t>tul.lap.</t>
  </si>
  <si>
    <t>fal</t>
  </si>
  <si>
    <t>wc</t>
  </si>
  <si>
    <t>előtér</t>
  </si>
  <si>
    <t>baumit GV25 Raklap</t>
  </si>
  <si>
    <t>52m a belső falhossz</t>
  </si>
  <si>
    <t>szerk.kész</t>
  </si>
  <si>
    <t>1m cső</t>
  </si>
  <si>
    <t>össz</t>
  </si>
  <si>
    <t>tisztító idom</t>
  </si>
  <si>
    <t>kondenz idom</t>
  </si>
  <si>
    <t>sapka</t>
  </si>
  <si>
    <t>szorító bilincs</t>
  </si>
  <si>
    <t>tartó bilincs</t>
  </si>
  <si>
    <t>fali átmenet</t>
  </si>
  <si>
    <t>átalakító merev-flex</t>
  </si>
  <si>
    <t>központosító</t>
  </si>
  <si>
    <t>lakáseladás</t>
  </si>
  <si>
    <t>kéményseprő szakvélemény</t>
  </si>
  <si>
    <t>Pest Megyei Kéményseprő Kft.</t>
  </si>
  <si>
    <t>pénzmosás elleni papírt aláírni</t>
  </si>
  <si>
    <t>bme-re elmenni a bizonyítványért</t>
  </si>
  <si>
    <t>kommunális adó</t>
  </si>
  <si>
    <t>3X16A</t>
  </si>
  <si>
    <t>vagy kondenz leválasztó Akna</t>
  </si>
  <si>
    <t>pénzt kivenni az equitastól, sanyinak bevinni 253at</t>
  </si>
  <si>
    <t>kéményseprő nyilatkozatért elmenni</t>
  </si>
  <si>
    <t>hudekkel beszélni, hogy kedden-szerdán talákozzunk</t>
  </si>
  <si>
    <t>otp</t>
  </si>
  <si>
    <t>önkorit hívni az engedély miatt, fakivágás miatt is a kertészt</t>
  </si>
  <si>
    <t>0629től van</t>
  </si>
  <si>
    <t>villanybekötés telekre 2.részlet</t>
  </si>
  <si>
    <t>villanybekötés telekre 1.részlet</t>
  </si>
  <si>
    <t>Összesen:</t>
  </si>
  <si>
    <t>ELMŰ</t>
  </si>
  <si>
    <t>villanybekötés alapdíj</t>
  </si>
  <si>
    <t>szlancsik lacihoz kiugrani az ajándékkal pénteken</t>
  </si>
  <si>
    <t>dmrvrt pénteken bemenni mérőcserét intézni</t>
  </si>
  <si>
    <t>tégla, zsalukő árajánlat</t>
  </si>
  <si>
    <t>zsoltit hívni reggel</t>
  </si>
  <si>
    <t>geotextília takarás</t>
  </si>
  <si>
    <t>vízszerelőt kihívni a telekre pénteken 7.30kor</t>
  </si>
  <si>
    <t>konyhába elektromos vízmelegítő, mosogatógép miatt kicsi lesz a melegvíz igény, nem érdemes a cirkulációs vezetéket ide is elhozni</t>
  </si>
  <si>
    <t>párhuzamos fektetésű talajkollektor a terasz előtt, 2 vagy 3 ág</t>
  </si>
  <si>
    <t>06204236551</t>
  </si>
  <si>
    <t>ács, tetőfedő</t>
  </si>
  <si>
    <t>06203233900</t>
  </si>
  <si>
    <t>bádogos</t>
  </si>
  <si>
    <t>bádogos, ács</t>
  </si>
  <si>
    <t>06209722606</t>
  </si>
  <si>
    <t>06304147113</t>
  </si>
  <si>
    <t>ács</t>
  </si>
  <si>
    <t>06302975064</t>
  </si>
  <si>
    <t>Ricsi</t>
  </si>
  <si>
    <t>Kosznovszky Anti</t>
  </si>
  <si>
    <t>06209816700</t>
  </si>
  <si>
    <t>06309919912</t>
  </si>
  <si>
    <t>dmrv</t>
  </si>
  <si>
    <t>fellebbezés</t>
  </si>
  <si>
    <t>önk. Kommunális adó</t>
  </si>
  <si>
    <t>önk. Ép eng</t>
  </si>
  <si>
    <t>elmű</t>
  </si>
  <si>
    <t>virág janit kihívni szerdára</t>
  </si>
  <si>
    <t>bitumenes vízszig. fektetés 1rtg. Falak alá</t>
  </si>
  <si>
    <t>bitumenes vízszig. fektetés 1rtg. Hőszig alá</t>
  </si>
  <si>
    <t>alapterület</t>
  </si>
  <si>
    <t>1.4 közmű hiányos</t>
  </si>
  <si>
    <t>1.3 falszerk. Tégla</t>
  </si>
  <si>
    <t>hőkés</t>
  </si>
  <si>
    <t>küldöm neki</t>
  </si>
  <si>
    <t>pipa munkadíj falazás, aljzat, vakolás, vízszigetelés, hőszig</t>
  </si>
  <si>
    <t>BB lesz, homlokzati szigatech hirsch</t>
  </si>
  <si>
    <t>rnagytuzep.hu</t>
  </si>
  <si>
    <t>atlastherm.hu kohazy.hu</t>
  </si>
  <si>
    <t>megoldható 30cm</t>
  </si>
  <si>
    <t>többi?</t>
  </si>
  <si>
    <t>1.1 épület kora 10évnél fiatalabb</t>
  </si>
  <si>
    <t>1.5 utak földút</t>
  </si>
  <si>
    <t>1.6 fűtés egyedi központi</t>
  </si>
  <si>
    <t>1.7 lakószoba 3nál több</t>
  </si>
  <si>
    <t>1.10 szoba tájolás</t>
  </si>
  <si>
    <t>m2 ár pest megye, város</t>
  </si>
  <si>
    <t>cserép Raklap</t>
  </si>
  <si>
    <t>oldalsó talajkollektor bekötés a tárolóba VÍZSZERELŐ!!!</t>
  </si>
  <si>
    <t>Greff-Mobil Bt</t>
  </si>
  <si>
    <t>szippantás</t>
  </si>
  <si>
    <t>06203258608</t>
  </si>
  <si>
    <t>Főző Józsefné (Zsuzsa néni)</t>
  </si>
  <si>
    <t>06209513335</t>
  </si>
  <si>
    <t>Főző Anna (Szabó Miklósné)</t>
  </si>
  <si>
    <t>06302495505</t>
  </si>
  <si>
    <t>7000ft/5m3</t>
  </si>
  <si>
    <t>durva kitűzés</t>
  </si>
  <si>
    <t>alépítményi munkák</t>
  </si>
  <si>
    <t>irtás</t>
  </si>
  <si>
    <t>humuszleszedés</t>
  </si>
  <si>
    <t>kitűzés (zsinórállvány)</t>
  </si>
  <si>
    <t>(talajvíztelenítés)</t>
  </si>
  <si>
    <t>alépítményi földmunkák</t>
  </si>
  <si>
    <t>alapozás</t>
  </si>
  <si>
    <t>szerkezet-építési munkák</t>
  </si>
  <si>
    <t>felmenő falak</t>
  </si>
  <si>
    <t>áthidalók+födém+koszorú</t>
  </si>
  <si>
    <t>tetőépítés</t>
  </si>
  <si>
    <t>válaszfalak</t>
  </si>
  <si>
    <t>szennyvíz, víz vezetékek</t>
  </si>
  <si>
    <t>szerelőipari munkák</t>
  </si>
  <si>
    <t>villany vezetékek</t>
  </si>
  <si>
    <t>gáz vezetékek, fűtésszerelés</t>
  </si>
  <si>
    <t>szigetelések (víz, hang, hő) aljzatok</t>
  </si>
  <si>
    <t>szakipari munkák</t>
  </si>
  <si>
    <t>vakolatok</t>
  </si>
  <si>
    <t>nyílásszárók elhelyezése</t>
  </si>
  <si>
    <t>burkolás (hideg)</t>
  </si>
  <si>
    <t>épületlakatos, épület asztalos szerkezetek</t>
  </si>
  <si>
    <t>festés, mázolás</t>
  </si>
  <si>
    <t>szerelvényezés (víz,villany, gáz, fűtés)</t>
  </si>
  <si>
    <t>burkolás (meleg)</t>
  </si>
  <si>
    <t>takarítás</t>
  </si>
  <si>
    <t>vízcsövek külső kútnak, esetleg hőszivattyú miatt</t>
  </si>
  <si>
    <t>főfalak alatt</t>
  </si>
  <si>
    <t>40db/raklap</t>
  </si>
  <si>
    <t>PTH10NF 96/raklap</t>
  </si>
  <si>
    <t>zsalukő 60m2 60x8,5=510db</t>
  </si>
  <si>
    <t>Dr. Szabó Tamás</t>
  </si>
  <si>
    <t>faház alap elbontás</t>
  </si>
  <si>
    <t>http://bolthely.hu/polyduct/oldal/fooldal</t>
  </si>
  <si>
    <t>komposzt láda</t>
  </si>
  <si>
    <t>talicska</t>
  </si>
  <si>
    <t>Vasudvar</t>
  </si>
  <si>
    <t>szerszám</t>
  </si>
  <si>
    <t>védőszemüveg</t>
  </si>
  <si>
    <t>Auchan</t>
  </si>
  <si>
    <t>Bauhaus</t>
  </si>
  <si>
    <t>locsoló, tömlő</t>
  </si>
  <si>
    <t>láncolaj, kerticsap, kenderkóc</t>
  </si>
  <si>
    <t>35db/raklap</t>
  </si>
  <si>
    <t>horganyzott vaslemez www.hbferrum.hu</t>
  </si>
  <si>
    <t>www.schiedelshop.hu</t>
  </si>
  <si>
    <t>ereszcsatorna 125</t>
  </si>
  <si>
    <t>lefolyócső 100</t>
  </si>
  <si>
    <t>www.euroof.hu</t>
  </si>
  <si>
    <t>www.hbferrum.hu</t>
  </si>
  <si>
    <t>komposztláda</t>
  </si>
  <si>
    <t>kg csövek</t>
  </si>
  <si>
    <t>függőón</t>
  </si>
  <si>
    <t>vízmérték tömlős</t>
  </si>
  <si>
    <t>zsínórvízmérték</t>
  </si>
  <si>
    <t>kőműves zsinór 100m 3db</t>
  </si>
  <si>
    <t>mérőszalag fogantyús 50m</t>
  </si>
  <si>
    <t>kitűzési cuccok</t>
  </si>
  <si>
    <t>HB-Ferrum Bt.</t>
  </si>
  <si>
    <t>Tesco</t>
  </si>
  <si>
    <t>lengőkábel 20m</t>
  </si>
  <si>
    <t xml:space="preserve"> d100</t>
  </si>
  <si>
    <t xml:space="preserve">BAUMIT GV25 gépi 1200Ft/ 40kg </t>
  </si>
  <si>
    <t>Zsalukőbe</t>
  </si>
  <si>
    <t>d12x6</t>
  </si>
  <si>
    <t>d8x2dbx75fmx3sor</t>
  </si>
  <si>
    <t>75/0,3=250dbx2m</t>
  </si>
  <si>
    <t>75fmx6=450fm</t>
  </si>
  <si>
    <t>75fmx2x2x1,5m</t>
  </si>
  <si>
    <t>135m2x4</t>
  </si>
  <si>
    <t>tüskevas d8</t>
  </si>
  <si>
    <t>vízszintes vas d8</t>
  </si>
  <si>
    <t>d8/20cm kengyel</t>
  </si>
  <si>
    <t>75/0,2=375dbx0,8m</t>
  </si>
  <si>
    <t>Ár</t>
  </si>
  <si>
    <t>Ár/kg</t>
  </si>
  <si>
    <t>Samata</t>
  </si>
  <si>
    <t>Drexler</t>
  </si>
  <si>
    <t>LMF 240</t>
  </si>
  <si>
    <t>LMF 420</t>
  </si>
  <si>
    <t>munkáscipő, kesztyű</t>
  </si>
  <si>
    <t>Épkézláb HB</t>
  </si>
  <si>
    <t>tetőcsomagtartó</t>
  </si>
  <si>
    <t>dekopír, spanifer</t>
  </si>
  <si>
    <t>Zatik</t>
  </si>
  <si>
    <t>szellőzés:</t>
  </si>
  <si>
    <t>permanent.hu</t>
  </si>
  <si>
    <t>alapban lévő csövek</t>
  </si>
  <si>
    <t>belső csövek</t>
  </si>
  <si>
    <t>aljzat peremszig., PE fólia</t>
  </si>
  <si>
    <t>lesz, padló felettt kellene vinni inkább, nem tudom hol lesz a gép</t>
  </si>
  <si>
    <t>+</t>
  </si>
  <si>
    <t>homlokzai hőszig lépcsős!!!!!!!!!! Szigatech!!!!!</t>
  </si>
  <si>
    <t>XPS zkeuro 921/m2 3cm</t>
  </si>
  <si>
    <t>zuhanyzó beépítése</t>
  </si>
  <si>
    <t>kád beépítése</t>
  </si>
  <si>
    <t>4cm felbeton</t>
  </si>
  <si>
    <t>75fm főfal</t>
  </si>
  <si>
    <t>7cm aljzatbeton (esztrich) betonozás</t>
  </si>
  <si>
    <t>sávalap betonozás</t>
  </si>
  <si>
    <t>vasalt aljzatbeton oldalának zsaluzása</t>
  </si>
  <si>
    <t>ÁR/EGYSÉG</t>
  </si>
  <si>
    <t>kitűzés</t>
  </si>
  <si>
    <t>faanyag zsinórállványhoz, vágással 30m deszka, 32m stafni</t>
  </si>
  <si>
    <t>bodega tibinek</t>
  </si>
  <si>
    <t>előregyártott kötöződrót</t>
  </si>
  <si>
    <t>100L-es hordó 2db?</t>
  </si>
  <si>
    <t>zsalukövet habarcsba rakják?</t>
  </si>
  <si>
    <t>kerti budi</t>
  </si>
  <si>
    <t>szarufa 7,5/15</t>
  </si>
  <si>
    <t>54fm falkerület</t>
  </si>
  <si>
    <r>
      <t>BAUMIT 30 40kg=25L=</t>
    </r>
    <r>
      <rPr>
        <b/>
        <sz val="8"/>
        <rFont val="Arial CE"/>
        <family val="2"/>
        <charset val="238"/>
      </rPr>
      <t>810</t>
    </r>
    <r>
      <rPr>
        <sz val="8"/>
        <rFont val="Arial CE"/>
        <charset val="238"/>
      </rPr>
      <t>ft</t>
    </r>
  </si>
  <si>
    <t>zsák</t>
  </si>
  <si>
    <t>PTH25NF 80/raklap</t>
  </si>
  <si>
    <t>210 zsák</t>
  </si>
  <si>
    <t>http://bolthely.hu/kadkiraly/oldal/fooldal</t>
  </si>
  <si>
    <t>5780/25kg</t>
  </si>
  <si>
    <t>UNIPLUS 16 6fm 45bekötés</t>
  </si>
  <si>
    <t>S és D Bt.</t>
  </si>
  <si>
    <t>locsoló adapter</t>
  </si>
  <si>
    <t>faanyag zsinórállványhoz, vágással 20m deszka, 16m stafni</t>
  </si>
  <si>
    <t>szintezőlézer kölcsönzés</t>
  </si>
  <si>
    <t>szatmari.hu</t>
  </si>
  <si>
    <t>MDVA áthidaló válaszfalhoz 7,25m</t>
  </si>
  <si>
    <t>válaszfalazás</t>
  </si>
  <si>
    <t>6db raklap vissza</t>
  </si>
  <si>
    <t>villanybekötés telekre 3.részlet</t>
  </si>
  <si>
    <t>1raklap (36db) támfalelem zoli hozta fel</t>
  </si>
  <si>
    <t>Kert</t>
  </si>
  <si>
    <t>Támfal építés</t>
  </si>
  <si>
    <t>anyag+munka</t>
  </si>
  <si>
    <t>Tereprendezés</t>
  </si>
  <si>
    <t>Trybek Balázs, János, fakivágás, sitt</t>
  </si>
  <si>
    <t>nem</t>
  </si>
  <si>
    <t>zatik 28.000</t>
  </si>
  <si>
    <t>megnézni a lentit</t>
  </si>
  <si>
    <t>Fehérné Irén</t>
  </si>
  <si>
    <t>St. Andrea Panzió</t>
  </si>
  <si>
    <t>0626301800</t>
  </si>
  <si>
    <t>gardena ágvágó</t>
  </si>
  <si>
    <t>erővágó</t>
  </si>
  <si>
    <t>puffer</t>
  </si>
  <si>
    <t>puffer szigeteléssel</t>
  </si>
  <si>
    <t>pelletkandalló</t>
  </si>
  <si>
    <t>felső szekrény világításhoz dugalj a mikró mögé</t>
  </si>
  <si>
    <t>aljzatbetonozás</t>
  </si>
  <si>
    <t>NET</t>
  </si>
  <si>
    <t>akt 813 ne</t>
  </si>
  <si>
    <t>adg 7556</t>
  </si>
  <si>
    <t>WHIRLPOOL</t>
  </si>
  <si>
    <t>BIZTOSÍTÁS</t>
  </si>
  <si>
    <t>aljzabeton: sóder, sitt szállítás</t>
  </si>
  <si>
    <t>PERTZD rendszer bojler nélkül</t>
  </si>
  <si>
    <t>Fétis Kft.</t>
  </si>
  <si>
    <t>Metabo SBZ 14,4</t>
  </si>
  <si>
    <t>termosztátok helyei</t>
  </si>
  <si>
    <t>vill. Kiállások</t>
  </si>
  <si>
    <t>vízcsövek hol mennek, milyen magasan?</t>
  </si>
  <si>
    <t>puffert, boylert mire állítsuk?</t>
  </si>
  <si>
    <t>napkolit lehet dönteni?</t>
  </si>
  <si>
    <t>víz hőfokot hogyan szabályzom az osztóban?</t>
  </si>
  <si>
    <t>esztrich dilatáció?</t>
  </si>
  <si>
    <t>T elág 100-100-100</t>
  </si>
  <si>
    <t>T elág 125-125-125</t>
  </si>
  <si>
    <t>90fok 100</t>
  </si>
  <si>
    <t>90fok 125</t>
  </si>
  <si>
    <t>nettó ár</t>
  </si>
  <si>
    <t>Helios SEWT talajkollektor</t>
  </si>
  <si>
    <t>Aldes DeeFly</t>
  </si>
  <si>
    <t>shop.strato.de</t>
  </si>
  <si>
    <t>Helios KWL EC 200 PRO vill kal</t>
  </si>
  <si>
    <t>Helios KWL EC 300 PRO vill kal</t>
  </si>
  <si>
    <t>cuccokat középre pakolni</t>
  </si>
  <si>
    <t>1 tekercs villas lemez</t>
  </si>
  <si>
    <t>levakolni a lyukakat kívül</t>
  </si>
  <si>
    <t>ereszfestés!!!!</t>
  </si>
  <si>
    <t>ablakokba xps káva</t>
  </si>
  <si>
    <t>expoinox</t>
  </si>
  <si>
    <t>sima cső 1m</t>
  </si>
  <si>
    <t>sima cső 0,5m</t>
  </si>
  <si>
    <t>sima-dupla átalakító</t>
  </si>
  <si>
    <t>dupla cső 1m</t>
  </si>
  <si>
    <t>dupla cső 0,5m</t>
  </si>
  <si>
    <t>dupla cső 0,25m</t>
  </si>
  <si>
    <t>sima cső 0,25m bekötésnél</t>
  </si>
  <si>
    <t>3 fázis tűzhelyhez kell?</t>
  </si>
  <si>
    <t>szilikon tömítés kell?</t>
  </si>
  <si>
    <t>DW</t>
  </si>
  <si>
    <t>SW</t>
  </si>
  <si>
    <t>Összesen nettó:</t>
  </si>
  <si>
    <t>falitartó d13</t>
  </si>
  <si>
    <t>falitartó d8</t>
  </si>
  <si>
    <t>30fok elhúzáshoz</t>
  </si>
  <si>
    <t>esővédő sapka</t>
  </si>
  <si>
    <t>szerelőbetont levésni</t>
  </si>
  <si>
    <t>XPS bélés nyílásokba</t>
  </si>
  <si>
    <t>ereszcsatorna 33</t>
  </si>
  <si>
    <t>alu novatomker</t>
  </si>
  <si>
    <t>alu novaglobus</t>
  </si>
  <si>
    <t>Metálszer</t>
  </si>
  <si>
    <t>2db purhab, 2db zsindelyszilikon</t>
  </si>
  <si>
    <t>alu balu böszörmény 0,7mm</t>
  </si>
  <si>
    <t>elektroudvar.hu!!!!!!!!!!!!!!!!!!</t>
  </si>
  <si>
    <t xml:space="preserve">Teka TL1-62X </t>
  </si>
  <si>
    <t>raklapokat visszavinni</t>
  </si>
  <si>
    <t>onlinefurdoszoba.hu</t>
  </si>
  <si>
    <t>drazice szakszer, gazcenter</t>
  </si>
  <si>
    <t>aljzabeton: cement, vasháló</t>
  </si>
  <si>
    <t>álmennyezet</t>
  </si>
  <si>
    <t>lábazat szigetelés</t>
  </si>
  <si>
    <t>IKEA Adel barna, mosogató nélkül</t>
  </si>
  <si>
    <t>Blanco ED 8x4 C</t>
  </si>
  <si>
    <t>mosogatótálca szifonnal</t>
  </si>
  <si>
    <t>mosogatobolt.hu</t>
  </si>
  <si>
    <t>cortile kft csövek</t>
  </si>
  <si>
    <t>Csovek toldasa belso toldoval popszegecs es leragaszt.</t>
  </si>
  <si>
    <t>alumínium ragasztószalag</t>
  </si>
  <si>
    <t>http://www.halmos.hu/ragasztoestomitoanyagok/gerbandszalagok/femesfemhatasuragasztok/aluminiumragasztoszalagg72510cmx50m.php</t>
  </si>
  <si>
    <t>kitűzés, karó leverés</t>
  </si>
  <si>
    <t>tereprendezés</t>
  </si>
  <si>
    <t>Koszorú, gerenda, pillér:</t>
  </si>
  <si>
    <t>Lábazat</t>
  </si>
  <si>
    <t>pillér</t>
  </si>
  <si>
    <t>pillérzsalu 25x25 4x13db</t>
  </si>
  <si>
    <t>körföldelés d16os vas hosszáhegesztve az alapkoszorúhoz és vashálóhoz, majd az falsíkon kívülre hozva</t>
  </si>
  <si>
    <t>Tibi hozza</t>
  </si>
  <si>
    <t>Color Panel</t>
  </si>
  <si>
    <t>gvadányi 87/a bútorlap, osb</t>
  </si>
  <si>
    <t>0613831308</t>
  </si>
  <si>
    <t>koromzsákajtó</t>
  </si>
  <si>
    <t>kéménykúp</t>
  </si>
  <si>
    <t>d130 0,8mm inox cső+5cm 1400c hőszig+ d230 külső alu cső 1fm szereléssel, bádogozással</t>
  </si>
  <si>
    <t>tetőkibúvó berakás</t>
  </si>
  <si>
    <t>kéményseprő átvétel</t>
  </si>
  <si>
    <t>tároló falán elhasznált levegőt kivezetni 20x20cm</t>
  </si>
  <si>
    <t>alapásás</t>
  </si>
  <si>
    <t>350szál d8, 100szál d12, 18db 6os háló</t>
  </si>
  <si>
    <t>98mázsa cement</t>
  </si>
  <si>
    <t>1tábla OSB</t>
  </si>
  <si>
    <t>6raklap zsalukő</t>
  </si>
  <si>
    <t>Drexler Peti</t>
  </si>
  <si>
    <t>K+D tüzép</t>
  </si>
  <si>
    <t>SU-FA Profi Kft. Fatelep</t>
  </si>
  <si>
    <t>20as deszka 60fm, 25fm tetőléc zsalunak</t>
  </si>
  <si>
    <t>3raklap zsalukő</t>
  </si>
  <si>
    <t>42mázsa cement</t>
  </si>
  <si>
    <t>kötöződrót 15kg</t>
  </si>
  <si>
    <t>kavics</t>
  </si>
  <si>
    <t>beütődűbel 2x50db d6x60</t>
  </si>
  <si>
    <t>PE fólia kavicsterítésre 160m2</t>
  </si>
  <si>
    <t>2,5raklap zsalukő vissza</t>
  </si>
  <si>
    <t>Ádám István</t>
  </si>
  <si>
    <t>kavicsterítés bobcat</t>
  </si>
  <si>
    <t>töltőföld kiszedés nagy jcb</t>
  </si>
  <si>
    <t>hegesztő, lapvibrátor bérlés</t>
  </si>
  <si>
    <t>fúró, béka bérlés</t>
  </si>
  <si>
    <t>Smartteam Kft.</t>
  </si>
  <si>
    <t>osztályozatlan kavics 3x4=12m3</t>
  </si>
  <si>
    <t>osztályozatlan kavics 6x4=24m3</t>
  </si>
  <si>
    <t>0-24 kavics 1x4=4m3</t>
  </si>
  <si>
    <t>0-24 kavics 4x4=16m3</t>
  </si>
  <si>
    <t>9 keverés</t>
  </si>
  <si>
    <t>14 keverés</t>
  </si>
  <si>
    <t>7 keverés</t>
  </si>
  <si>
    <t>betonkeverő fuvar</t>
  </si>
  <si>
    <t>Lelkes Pali</t>
  </si>
  <si>
    <t>munkadíj előleg</t>
  </si>
  <si>
    <t>vasszerelés</t>
  </si>
  <si>
    <t>alap kiásás géppel, tereprendezés</t>
  </si>
  <si>
    <t>kavicságy bobcat</t>
  </si>
  <si>
    <t>földvisszatöltés nagy jcb</t>
  </si>
  <si>
    <t>vb áthidaló beépítése</t>
  </si>
  <si>
    <t>1m3 beton az alapozáshoz:</t>
  </si>
  <si>
    <t>osztályozatlan kavics 1x4=4m3</t>
  </si>
  <si>
    <t>raklap díjak</t>
  </si>
  <si>
    <t>YTONG P4-250 NF 800/dbx8 5raklap</t>
  </si>
  <si>
    <t>MDA</t>
  </si>
  <si>
    <t>MDVA</t>
  </si>
  <si>
    <t>ACO dréncső 50fm</t>
  </si>
  <si>
    <t>Terraplast geotextília 50x1,5m</t>
  </si>
  <si>
    <t>falazás</t>
  </si>
  <si>
    <t>Ytong hőszig habarcs 6 zsák</t>
  </si>
  <si>
    <t>Ytong hőszighabarcs</t>
  </si>
  <si>
    <t>főfalhoz</t>
  </si>
  <si>
    <t>válaszfalhoz</t>
  </si>
  <si>
    <t>padlón</t>
  </si>
  <si>
    <t>PE fólia</t>
  </si>
  <si>
    <t>aljzatbeton alá BAUERS.HU</t>
  </si>
  <si>
    <t>támfal+drén építés</t>
  </si>
  <si>
    <t>támfalelem</t>
  </si>
  <si>
    <t>40x40x15</t>
  </si>
  <si>
    <t>PTH25NF 7raklap</t>
  </si>
  <si>
    <t>Ytong25 5 raklap</t>
  </si>
  <si>
    <t>Villas GV45 6 tekercs</t>
  </si>
  <si>
    <t>Leier pillérzsalu 25x25 52db</t>
  </si>
  <si>
    <t>Bereczki'97 Kft.</t>
  </si>
  <si>
    <t>Kingstone flex csemperagasztó 4 zsák</t>
  </si>
  <si>
    <t>keverőgép kölcsönzés</t>
  </si>
  <si>
    <t>Leányfalu</t>
  </si>
  <si>
    <t>Baumit HF30 3 raklap</t>
  </si>
  <si>
    <t>PTH kmt tégla 2 raklap</t>
  </si>
  <si>
    <t>100szál d12</t>
  </si>
  <si>
    <t>drénárok kiszedése, támfal helyének kiszedése</t>
  </si>
  <si>
    <t>villas pormex rapid</t>
  </si>
  <si>
    <t>vakolunk.hu</t>
  </si>
  <si>
    <t>súly</t>
  </si>
  <si>
    <t xml:space="preserve">  </t>
  </si>
  <si>
    <t>impregnálás</t>
  </si>
  <si>
    <t>impregnálás léc</t>
  </si>
  <si>
    <t>epitok-aruhaza.hu</t>
  </si>
  <si>
    <t>adesilex p9</t>
  </si>
  <si>
    <t>PTH25NF 6raklap</t>
  </si>
  <si>
    <t>Baumit HF30 1 raklap</t>
  </si>
  <si>
    <t>téglavágó kölcsönzés</t>
  </si>
  <si>
    <t>fizetni</t>
  </si>
  <si>
    <t>munkadíj hátralék</t>
  </si>
  <si>
    <t>falazás pillérzsalu</t>
  </si>
  <si>
    <t>falazás főfal utolsó sor</t>
  </si>
  <si>
    <t>kamra alá nem kell hőszig?</t>
  </si>
  <si>
    <t>kéményt légzárni mikor üzemen kívül van</t>
  </si>
  <si>
    <t>téglavágó bérlés</t>
  </si>
  <si>
    <t>villanybekötés</t>
  </si>
  <si>
    <t>4zsák Mapetherm EPS ragasztó</t>
  </si>
  <si>
    <t>20L vödör 2db</t>
  </si>
  <si>
    <t>Heinczel Gabi</t>
  </si>
  <si>
    <t>ablakkáva munkadíj</t>
  </si>
  <si>
    <t>Budapest, 2010.06.07.</t>
  </si>
  <si>
    <t>kórház</t>
  </si>
  <si>
    <t>Orbay Kft.</t>
  </si>
  <si>
    <t>ablakkávázás</t>
  </si>
  <si>
    <t>villany hol fog bejönni a házba?</t>
  </si>
  <si>
    <t>gipszelés!!!!!</t>
  </si>
  <si>
    <t>termosztátokhoz utp és 2x0,75mm?, ezeket a fűtési osztó fölé hozni+220 is kell ide a szivattyúknak</t>
  </si>
  <si>
    <t>whirlpool bekötés 3750/db+4900 kiszállás</t>
  </si>
  <si>
    <t>akp 241 ix 05</t>
  </si>
  <si>
    <t>Gorenje DK6335E</t>
  </si>
  <si>
    <t>colstokk, tokrögzítő fül próbának, torx bit fej, penge</t>
  </si>
  <si>
    <t>Megkezdődött az ereszkilógás megtámasztása (kalodázás). 5/10 méretű pallók kerültek felhasználásra.</t>
  </si>
  <si>
    <t>Sanyinak éptár</t>
  </si>
  <si>
    <t>villámhárítóval mi legyen?</t>
  </si>
  <si>
    <t>bojler mögé 400v is kell a fűtőszál miatt, vagy 220v vezérelthez direktbe kötve</t>
  </si>
  <si>
    <t>páraelszívóhoz áram</t>
  </si>
  <si>
    <t>nyitásérzékelők?</t>
  </si>
  <si>
    <t>fürdő falikar alá befér a dugalj?</t>
  </si>
  <si>
    <t>IKEA</t>
  </si>
  <si>
    <t xml:space="preserve"> _Fal vakolat 1,5cm </t>
  </si>
  <si>
    <t xml:space="preserve"> _Fal vakolat 3cm   </t>
  </si>
  <si>
    <t xml:space="preserve"> _Fal külső         </t>
  </si>
  <si>
    <t>Vakolat 1,5cm</t>
  </si>
  <si>
    <t>Vakolat 3cm</t>
  </si>
  <si>
    <t>konyha főzőlap</t>
  </si>
  <si>
    <t>konyha, elszívó</t>
  </si>
  <si>
    <t>bádogozás</t>
  </si>
  <si>
    <t>Varga Ricsi</t>
  </si>
  <si>
    <t>ereszcsatorna, ejtők nélkül</t>
  </si>
  <si>
    <t>19db duna alapcserép</t>
  </si>
  <si>
    <t>801.262.13 ajtó ütköző</t>
  </si>
  <si>
    <t>Baumax</t>
  </si>
  <si>
    <t>KG PVC csövek ereszcsatornához 2x3m</t>
  </si>
  <si>
    <t>KG PVC csövek ereszcsatornához 4x3m, 4db 45fok</t>
  </si>
  <si>
    <t>Kőházy festékbolt</t>
  </si>
  <si>
    <t>vakolás</t>
  </si>
  <si>
    <t>öntapadó szivacscsík 4x30m</t>
  </si>
  <si>
    <t>dryvit háló 150m2</t>
  </si>
  <si>
    <t>fürdőben csempe meddig jön az ajtó mellett? Takaróléc miatt</t>
  </si>
  <si>
    <t>50fm 3cm vakolat</t>
  </si>
  <si>
    <t>40m2 fal lesz csempézve</t>
  </si>
  <si>
    <t>ablakbeépítés</t>
  </si>
  <si>
    <t>csípőfogó</t>
  </si>
  <si>
    <t>hitelfelvétel</t>
  </si>
  <si>
    <t>csákánynyél, ragasztószalag, szegélyhenger</t>
  </si>
  <si>
    <t>100db 132es tokrögzítő csavar</t>
  </si>
  <si>
    <t>tokrögzítő fül, 6os fúrószár</t>
  </si>
  <si>
    <t>Fekete Jancsi</t>
  </si>
  <si>
    <t>3tábla 2cm-es XPS, revco purhab</t>
  </si>
  <si>
    <t>Gázcenter</t>
  </si>
  <si>
    <t>kandalló+bojler</t>
  </si>
  <si>
    <t>4zsák PS ragasztó</t>
  </si>
  <si>
    <t>40db tokrögzítző fül vissza</t>
  </si>
  <si>
    <t>Nagy László</t>
  </si>
  <si>
    <t>vakolás előleg</t>
  </si>
  <si>
    <t>vakolás előleg villanyra</t>
  </si>
  <si>
    <t>vakolás anyaggal+plomba</t>
  </si>
  <si>
    <t>illbruck szalag, purhab, fúrószár, tokrögz. csavar</t>
  </si>
  <si>
    <t>Könyöklő</t>
  </si>
  <si>
    <t>szél</t>
  </si>
  <si>
    <t>mély</t>
  </si>
  <si>
    <t>vtg</t>
  </si>
  <si>
    <t>Pannontherm</t>
  </si>
  <si>
    <t>ablak előleg</t>
  </si>
  <si>
    <t>novospectrum</t>
  </si>
  <si>
    <t>90fok 160</t>
  </si>
  <si>
    <t>BEFÚJÁS</t>
  </si>
  <si>
    <t>ELSZÍVÁS</t>
  </si>
  <si>
    <t>spikó 100</t>
  </si>
  <si>
    <t>spikó 125</t>
  </si>
  <si>
    <t>spikó 160</t>
  </si>
  <si>
    <t>sono 100</t>
  </si>
  <si>
    <t>sono 125</t>
  </si>
  <si>
    <t>sono 160</t>
  </si>
  <si>
    <t>csőkapcsoló 100</t>
  </si>
  <si>
    <t>csőkapcsoló 125</t>
  </si>
  <si>
    <t>csőkapcsoló 160</t>
  </si>
  <si>
    <t>pillangószelep 100</t>
  </si>
  <si>
    <t>pillangószelep 125</t>
  </si>
  <si>
    <t>pillangószelep 160</t>
  </si>
  <si>
    <t>szűkítő 100-125</t>
  </si>
  <si>
    <t>szűkítő 125-160</t>
  </si>
  <si>
    <t>szükséglet db, fm</t>
  </si>
  <si>
    <t>szükséglet kerekítve</t>
  </si>
  <si>
    <t>tányérszelep 100</t>
  </si>
  <si>
    <t>T elág 160-160-160</t>
  </si>
  <si>
    <t>dugó 100</t>
  </si>
  <si>
    <t>dugó 125</t>
  </si>
  <si>
    <t>idomkapcsoló 100</t>
  </si>
  <si>
    <t>idomkapcsoló 125</t>
  </si>
  <si>
    <t>idomkapcsoló 160</t>
  </si>
  <si>
    <t>csőkapcsoló</t>
  </si>
  <si>
    <t>idomkapcsoló</t>
  </si>
  <si>
    <t>gumibetétes csőbilincs</t>
  </si>
  <si>
    <t>menetesszár</t>
  </si>
  <si>
    <t>alu szalag</t>
  </si>
  <si>
    <t>Z fül</t>
  </si>
  <si>
    <t>csavarok, toldók</t>
  </si>
  <si>
    <t>önmetsző csavarok</t>
  </si>
  <si>
    <t>molly dűbel HM fischer</t>
  </si>
  <si>
    <t>rögzítés hány méterenként?</t>
  </si>
  <si>
    <t>hangcsillapító 160 5cm hőszig</t>
  </si>
  <si>
    <t>ár/m2</t>
  </si>
  <si>
    <t>káló %</t>
  </si>
  <si>
    <t>kerekítve</t>
  </si>
  <si>
    <t>beige</t>
  </si>
  <si>
    <t>brown</t>
  </si>
  <si>
    <t>inserto egész dekor</t>
  </si>
  <si>
    <t>terület/db</t>
  </si>
  <si>
    <t>listwa dekor 3,7cm</t>
  </si>
  <si>
    <t>listwa dekor 7,6cm</t>
  </si>
  <si>
    <t>listwa dekor 2,5cm</t>
  </si>
  <si>
    <t>nappali+konyha</t>
  </si>
  <si>
    <t>beszerzés</t>
  </si>
  <si>
    <t>mákos</t>
  </si>
  <si>
    <t>típus</t>
  </si>
  <si>
    <t>alomfurdoszoba.hu</t>
  </si>
  <si>
    <t>csempearuhaz.hu</t>
  </si>
  <si>
    <t>ragasztó</t>
  </si>
  <si>
    <t>mullerfestek.hu</t>
  </si>
  <si>
    <t>fugázó</t>
  </si>
  <si>
    <t>mapei adesilex p9</t>
  </si>
  <si>
    <t>bandázs</t>
  </si>
  <si>
    <t>kerakoll idrobuild FX</t>
  </si>
  <si>
    <t>csempe</t>
  </si>
  <si>
    <t>gépészet fal</t>
  </si>
  <si>
    <t>hl szifon</t>
  </si>
  <si>
    <t>élvédő</t>
  </si>
  <si>
    <t>ANYAG ÖSSZESEN</t>
  </si>
  <si>
    <t>MUNKA ÖSSZESEN</t>
  </si>
  <si>
    <t>pult, kád, zuhanyzó</t>
  </si>
  <si>
    <t>bélésnél 6*,25</t>
  </si>
  <si>
    <t>válaszfal ajtónál</t>
  </si>
  <si>
    <t>levonás</t>
  </si>
  <si>
    <t>ytong 10</t>
  </si>
  <si>
    <t>színes is</t>
  </si>
  <si>
    <t>burkolatváltó profil</t>
  </si>
  <si>
    <t>előkert</t>
  </si>
  <si>
    <t>koronafúró bérlet</t>
  </si>
  <si>
    <t>kesztyűk</t>
  </si>
  <si>
    <t>hangcsillapító 150 5cm hőszig</t>
  </si>
  <si>
    <t>szalagbilincs sonohoz</t>
  </si>
  <si>
    <t>sono-t hogy rögzítem a födémhez</t>
  </si>
  <si>
    <t>90fok 150</t>
  </si>
  <si>
    <t>sono 150</t>
  </si>
  <si>
    <t>spikó 150</t>
  </si>
  <si>
    <t>csőkapcsoló 150</t>
  </si>
  <si>
    <t>idomkapcsoló 150</t>
  </si>
  <si>
    <t>T elág 150-150-150</t>
  </si>
  <si>
    <t>pillangószelep 150</t>
  </si>
  <si>
    <t>szűkítő 125-150</t>
  </si>
  <si>
    <t>szűkítő 100-150</t>
  </si>
  <si>
    <t>dugó 150</t>
  </si>
  <si>
    <t>1 doboz</t>
  </si>
  <si>
    <t>3 doboz</t>
  </si>
  <si>
    <t>szűkítő+T közé kell idomkapcsoló?</t>
  </si>
  <si>
    <t>Mediterránia Kft.</t>
  </si>
  <si>
    <t>pinea előleg</t>
  </si>
  <si>
    <t>szellőzés anyag</t>
  </si>
  <si>
    <t>Novospectrum Kft.</t>
  </si>
  <si>
    <t>villanyóra plomba</t>
  </si>
  <si>
    <t>spanifer 2db</t>
  </si>
  <si>
    <t>polyfoam lemez szellőzéshez</t>
  </si>
  <si>
    <t>kétoldali ragasztó</t>
  </si>
  <si>
    <t>Air Plan Kft.</t>
  </si>
  <si>
    <t>HM dűbel 30db, 60db csavar</t>
  </si>
  <si>
    <t>párátlanító bérlet</t>
  </si>
  <si>
    <t>10m2-re</t>
  </si>
  <si>
    <t>beütő dűbel 6x40 műanyag UD profilhoz</t>
  </si>
  <si>
    <t>beütő dűbel acél (födémék)</t>
  </si>
  <si>
    <t>z+k</t>
  </si>
  <si>
    <t>Rimano Super hézagológipsz 4800/25kg</t>
  </si>
  <si>
    <t>üvegszövetes hézagerősítő csík 600/100m</t>
  </si>
  <si>
    <t>fatelep.ich.hu</t>
  </si>
  <si>
    <t>opel csavar profil kapcsolathoz</t>
  </si>
  <si>
    <t>tuzep.co.hu</t>
  </si>
  <si>
    <t>revíziós nyílás?</t>
  </si>
  <si>
    <t>beütőék 15db, szalgbilincsek</t>
  </si>
  <si>
    <t>6, 8mm sds+ fúrófej</t>
  </si>
  <si>
    <t>4m</t>
  </si>
  <si>
    <t>3m</t>
  </si>
  <si>
    <t>mosogató</t>
  </si>
  <si>
    <t>alu élvédő</t>
  </si>
  <si>
    <t>pálca 375mm</t>
  </si>
  <si>
    <t>- 1 m2 gipszkartonlap, min. 12,5 mm vastagság</t>
  </si>
  <si>
    <t>- 0,8 fm UD profil</t>
  </si>
  <si>
    <t>- 4 fm CD 60/27 profil</t>
  </si>
  <si>
    <t>- 1,3 mm szivacscsík, 30 mm</t>
  </si>
  <si>
    <t>- 20 db csavar 25 mm</t>
  </si>
  <si>
    <t>- 1,6 db beütőékes dűbel 6/40 (UD rögzítéshez)</t>
  </si>
  <si>
    <t>- 1,6 db mennyezeti hasadó ék 6/35 (befüggesztéshez)</t>
  </si>
  <si>
    <t>- 1,6 db függesztő elem (gyorsfüggesztő, vagy biztonsági függesztő)</t>
  </si>
  <si>
    <t>- 3 db CD keresztösszekötő</t>
  </si>
  <si>
    <t>- 0,5 db CD toldó</t>
  </si>
  <si>
    <t>- 1,6 db szemes függesztőpálca</t>
  </si>
  <si>
    <t>- 0,3 kg hézagoló gipsz</t>
  </si>
  <si>
    <t>- 1,6 fm fugatakaró csík</t>
  </si>
  <si>
    <t>- 1 m2 ásványgyapot szigetelés (akusztikai vagy hőszigetelési igénytől függően)</t>
  </si>
  <si>
    <t>- PE fólia 0,5 mm</t>
  </si>
  <si>
    <t>1m alu felxcső</t>
  </si>
  <si>
    <t>Mixvill</t>
  </si>
  <si>
    <t>csapózsinór, csőrögzítő</t>
  </si>
  <si>
    <t>Szentendrei út csavarbolt</t>
  </si>
  <si>
    <t>70db födémék</t>
  </si>
  <si>
    <t>álmennyezet cuccok</t>
  </si>
  <si>
    <t>ACER fatelep Gödöllő</t>
  </si>
  <si>
    <t>profilok, kieg</t>
  </si>
  <si>
    <t>6mm fúrófejek 1mm flexkorong, szikepenge</t>
  </si>
  <si>
    <t>80db direktfüggesztő</t>
  </si>
  <si>
    <t>Heinczel Gabi, Jani</t>
  </si>
  <si>
    <t>álmennyezet munkadíj előleg</t>
  </si>
  <si>
    <t>külső nyílászárók illbruck, csavarok stb, beépítés</t>
  </si>
  <si>
    <t>3 mosdócsap</t>
  </si>
  <si>
    <t>tábla</t>
  </si>
  <si>
    <t>imp</t>
  </si>
  <si>
    <t>siloplast</t>
  </si>
  <si>
    <t>ereszdeszkára lazúr 2,5L Bondex vörösfenyő 4284</t>
  </si>
  <si>
    <t>3db soudal zsindelyszilikon</t>
  </si>
  <si>
    <t>zsákos esztrich</t>
  </si>
  <si>
    <t>dilatációs profil</t>
  </si>
  <si>
    <t>ALFÖLDI 4145 45 (45x36)</t>
  </si>
  <si>
    <t>LIV Laguna</t>
  </si>
  <si>
    <t>wc ülőke kombi</t>
  </si>
  <si>
    <t>thermal capelle 140 szifonnal, lábbal, leeresztővel, szállítással</t>
  </si>
  <si>
    <t>blau tipli és facsavar 63db</t>
  </si>
  <si>
    <t>blau tipli és facsavar, alátét 200db</t>
  </si>
  <si>
    <t>ytong 10 40db</t>
  </si>
  <si>
    <t>23db normál gk, 20db impregnált gk lap</t>
  </si>
  <si>
    <t>ytong 10 10db</t>
  </si>
  <si>
    <t>Müllerfesték Kft. Pvörösvár</t>
  </si>
  <si>
    <t>légszelepek</t>
  </si>
  <si>
    <t>mapei keracolor</t>
  </si>
  <si>
    <t>adesilex p9 10 zsák, primer g 5liter</t>
  </si>
  <si>
    <t>18fm gk élvédő</t>
  </si>
  <si>
    <t>karcher ipari porszívó</t>
  </si>
  <si>
    <t>3db tömítő</t>
  </si>
  <si>
    <t>külső nyílászárók</t>
  </si>
  <si>
    <t>ragasztó ytonghoz</t>
  </si>
  <si>
    <t>doboz</t>
  </si>
  <si>
    <t>75fm UD30</t>
  </si>
  <si>
    <t>blau tipli és facsavar 50db</t>
  </si>
  <si>
    <t>pinea hátralék</t>
  </si>
  <si>
    <t>álmennyezet munkadíj</t>
  </si>
  <si>
    <t>mákos csempe 21,06m2</t>
  </si>
  <si>
    <t>Mediter Ker Bt.</t>
  </si>
  <si>
    <t>sarokkád</t>
  </si>
  <si>
    <t>sarokkád szállítás</t>
  </si>
  <si>
    <t>rev. ajtók vissza</t>
  </si>
  <si>
    <t>VK150 venti, szike</t>
  </si>
  <si>
    <t>2x2,5fm dil. Profil</t>
  </si>
  <si>
    <t>5fm 150es flexi cső, 150 csőkapcs, 125-100 szük</t>
  </si>
  <si>
    <t>Govill</t>
  </si>
  <si>
    <t>ventihez kábel stb.</t>
  </si>
  <si>
    <t>padlórács</t>
  </si>
  <si>
    <t>Laguna csempebolt Szendre</t>
  </si>
  <si>
    <t>http://cart.vacuumsdirect.co.uk/index.php?p=catalog&amp;parent=35&amp;pg=1</t>
  </si>
  <si>
    <t>15fm lábazat</t>
  </si>
  <si>
    <t>adesilex p9 12 zsák</t>
  </si>
  <si>
    <t>3zsák keraflex ff, 2sziló, 12fm kerakoll bandázs, 4szál 10mm alu élvédő 2,7m</t>
  </si>
  <si>
    <t>Tarjányi Szabolcs</t>
  </si>
  <si>
    <t>825L puffer</t>
  </si>
  <si>
    <t>kuplungos bitfej</t>
  </si>
  <si>
    <t>VS Csoport</t>
  </si>
  <si>
    <t>közl. Padlólap előleg</t>
  </si>
  <si>
    <t>vakolat nélkül</t>
  </si>
  <si>
    <t>vakolat</t>
  </si>
  <si>
    <t>anya</t>
  </si>
  <si>
    <t>dupladugalj</t>
  </si>
  <si>
    <t>http://bolthely.hu/villanyszereles/</t>
  </si>
  <si>
    <t>www.gazdafielectronic.hu</t>
  </si>
  <si>
    <t>bojler 6kw fűtőszál TJ 6,0</t>
  </si>
  <si>
    <t>evőeszköztartó, mosogató adagoló</t>
  </si>
  <si>
    <t>fűtés szerelés</t>
  </si>
  <si>
    <t>tervezés, anyagbeszerzés</t>
  </si>
  <si>
    <t>konyha dekor</t>
  </si>
  <si>
    <t>partvis, felmosó Sanyinak</t>
  </si>
  <si>
    <t>1vödör HÉRA, mélyalapozó</t>
  </si>
  <si>
    <t>2 purhab kádhoz</t>
  </si>
  <si>
    <t>6db Ytong, 1zsák padlopon, 2 szanitersziló</t>
  </si>
  <si>
    <t>sütő</t>
  </si>
  <si>
    <t>bútor</t>
  </si>
  <si>
    <t>zuhanyzóba tükrösszekrény</t>
  </si>
  <si>
    <t>4db ufólámpa</t>
  </si>
  <si>
    <t>4zsák keraflex ff, 2sziló, csempemágnes, 3szál 10mm alu élvédő 2,7m</t>
  </si>
  <si>
    <t>Karcsi</t>
  </si>
  <si>
    <t>kád és zuhanyzó bekötés</t>
  </si>
  <si>
    <t>kád és zuhanyzó bekötés anyag HL szifon</t>
  </si>
  <si>
    <t>Lidl</t>
  </si>
  <si>
    <t>kombi WC ülőke</t>
  </si>
  <si>
    <t>alu 10mm</t>
  </si>
  <si>
    <t>laguna</t>
  </si>
  <si>
    <t>metálszer</t>
  </si>
  <si>
    <t>k+z</t>
  </si>
  <si>
    <t>kohazy</t>
  </si>
  <si>
    <t>fém 2,7fm</t>
  </si>
  <si>
    <t>kerakoll</t>
  </si>
  <si>
    <t>bekötés anyagokkal</t>
  </si>
  <si>
    <t>darab</t>
  </si>
  <si>
    <t>szellőzés alapszerelés</t>
  </si>
  <si>
    <t>sima csemperag</t>
  </si>
  <si>
    <t>weber csemperag. Ytonghoz 3zsák</t>
  </si>
  <si>
    <t>élvédő vissza</t>
  </si>
  <si>
    <t>gk behajtó, akril, 60fm stukkó 740</t>
  </si>
  <si>
    <t>zuh. Függönytartó</t>
  </si>
  <si>
    <t>Jysk</t>
  </si>
  <si>
    <t>zuh. Függöny</t>
  </si>
  <si>
    <t>szaniter sziló, stukkósziló</t>
  </si>
  <si>
    <t>burkolás lapburkolat+rag+fuga</t>
  </si>
  <si>
    <t>össz.</t>
  </si>
  <si>
    <t>egységár</t>
  </si>
  <si>
    <t>nappali-konyha</t>
  </si>
  <si>
    <t>fűtés előleg</t>
  </si>
  <si>
    <t>álmennyezet, festés, burkolás</t>
  </si>
  <si>
    <t>fűtés szerelés, festés, burkolás, álmennyezet</t>
  </si>
  <si>
    <t>konyha csempe előleg</t>
  </si>
  <si>
    <t>burk. Váltó</t>
  </si>
  <si>
    <t>koronafúró, csavarhúzó készlet, oldalcsípő, kábel lehúzó fogó</t>
  </si>
  <si>
    <t>2db stukkósziló</t>
  </si>
  <si>
    <t>steklámpa, 3db izzó, 20m hosszabbító</t>
  </si>
  <si>
    <t>cimm ere ec 80</t>
  </si>
  <si>
    <t>cimm ere ec 12</t>
  </si>
  <si>
    <t>cimm acs 24</t>
  </si>
  <si>
    <t>wilo smart 25/4</t>
  </si>
  <si>
    <t>wilo smart 25/6</t>
  </si>
  <si>
    <t>Honeywell VC4013</t>
  </si>
  <si>
    <t>honeywell vczmp6000/u</t>
  </si>
  <si>
    <t>szeleptest</t>
  </si>
  <si>
    <t>motor</t>
  </si>
  <si>
    <t>bruttó ár</t>
  </si>
  <si>
    <t>heimeier keverőszelep 3/4</t>
  </si>
  <si>
    <t>rézcső 22mm</t>
  </si>
  <si>
    <t>réz 22mm 90fok</t>
  </si>
  <si>
    <t>alfa laval 30kw hőcserélő</t>
  </si>
  <si>
    <t>réz 22mm T</t>
  </si>
  <si>
    <t>réz 22mm 45fok</t>
  </si>
  <si>
    <t>gömbcsap</t>
  </si>
  <si>
    <t>honeywell termosztát</t>
  </si>
  <si>
    <t xml:space="preserve">Helyiség neve </t>
  </si>
  <si>
    <t xml:space="preserve"> Terület      </t>
  </si>
  <si>
    <t xml:space="preserve"> Kerület      </t>
  </si>
  <si>
    <t>Bruttó Falfelület</t>
  </si>
  <si>
    <t xml:space="preserve"> Ajtók összfelülete </t>
  </si>
  <si>
    <t xml:space="preserve"> Ablakok összfelülete </t>
  </si>
  <si>
    <t>Nettó fal</t>
  </si>
  <si>
    <t>Nappali-konyha-közlekedő-előtér</t>
  </si>
  <si>
    <t xml:space="preserve">Dolgozó       </t>
  </si>
  <si>
    <t xml:space="preserve">Háló          </t>
  </si>
  <si>
    <t xml:space="preserve">Vendég        </t>
  </si>
  <si>
    <t xml:space="preserve">Gyerek        </t>
  </si>
  <si>
    <t>mennyezet</t>
  </si>
  <si>
    <t>stukkó</t>
  </si>
  <si>
    <t>Szabó Zoli villanyokat behúzta</t>
  </si>
  <si>
    <t>padló terv szerint</t>
  </si>
  <si>
    <t>padló tényleges</t>
  </si>
  <si>
    <t>fal terv szerint</t>
  </si>
  <si>
    <t>fal tényleges</t>
  </si>
  <si>
    <t>lábazat terv szerint</t>
  </si>
  <si>
    <t>ablakkáva</t>
  </si>
  <si>
    <t>kád mögötti fal</t>
  </si>
  <si>
    <t>mosdó mögötti, melleti fal</t>
  </si>
  <si>
    <t>wc mögötti fal</t>
  </si>
  <si>
    <t>zuhanyzó beépítés, falazás</t>
  </si>
  <si>
    <t>Mák Laci</t>
  </si>
  <si>
    <t>56fm stukkó 740, 2zsák széria, csiszoló szivacs, rag. Szalag</t>
  </si>
  <si>
    <t>500db gk csavar</t>
  </si>
  <si>
    <t>Bálint villany</t>
  </si>
  <si>
    <t>50m 3x1,5mm kábel, 30db kábeltipli</t>
  </si>
  <si>
    <t>40fm stukkó 740</t>
  </si>
  <si>
    <t>fischer gk tipli csavarral 50db</t>
  </si>
  <si>
    <t>6db impregnált gk lap</t>
  </si>
  <si>
    <t>10fm alu élvédő 8mm</t>
  </si>
  <si>
    <t>rev. ajtók 20x20 4db, 1zsák széria glett, 3zsák esztrich</t>
  </si>
  <si>
    <t>kémény, tetőfix tetőkibúvó, átvétel</t>
  </si>
  <si>
    <t>Munkadíj</t>
  </si>
  <si>
    <t>????</t>
  </si>
  <si>
    <t>dulux magnólia</t>
  </si>
  <si>
    <t>platinum áfonya</t>
  </si>
  <si>
    <t>tetőkibúvó</t>
  </si>
  <si>
    <t>csavar szortimenter</t>
  </si>
  <si>
    <t>stukkósziló</t>
  </si>
  <si>
    <t>Sanyi vett cuccokat gk csavar stb</t>
  </si>
  <si>
    <t>2db tömítősziló</t>
  </si>
  <si>
    <t>kémény előleg</t>
  </si>
  <si>
    <t>GE Tungsram kompakt fénycső GU10 foglalattal 7W</t>
  </si>
  <si>
    <t>GU10 foglalat spot lámpához</t>
  </si>
  <si>
    <t>anrodiszlec.hu</t>
  </si>
  <si>
    <t>beép spot lámpatest</t>
  </si>
  <si>
    <t>11m2 narancs</t>
  </si>
  <si>
    <t>4m2/L 2rtgben</t>
  </si>
  <si>
    <t>7m2/L 2rtgben</t>
  </si>
  <si>
    <t>Electro World</t>
  </si>
  <si>
    <t>1db purhab</t>
  </si>
  <si>
    <t>1doboz Héra, 2akril, 1stukkósziló</t>
  </si>
  <si>
    <t>1db 9W, 1db 15w kompakt fénycső E27</t>
  </si>
  <si>
    <t>burkolat nappali</t>
  </si>
  <si>
    <t>kémény 2. rész</t>
  </si>
  <si>
    <t>nappali járólap 2. rész</t>
  </si>
  <si>
    <t>4,5m2 fali csempe gépészetbe</t>
  </si>
  <si>
    <t>burkolat gépészet fal</t>
  </si>
  <si>
    <t>rag 14zsák</t>
  </si>
  <si>
    <t>Sanyiék</t>
  </si>
  <si>
    <t>festés munkadíj</t>
  </si>
  <si>
    <t>bandázsolás</t>
  </si>
  <si>
    <t>vendég</t>
  </si>
  <si>
    <t>gyerek</t>
  </si>
  <si>
    <t>ikea lock</t>
  </si>
  <si>
    <t>http://www.fenyforras.hu/elh-m5w-landlite-01cel847-t2-7mm-kompakt-fenycso-minispiral-forma-p-1815418822.html</t>
  </si>
  <si>
    <t>http://www.fenyforras.hu/elh-landlite-elh-t2-7mm-kompakt-fenycso-minispiral-forma-p--134719349.html</t>
  </si>
  <si>
    <t>ELH/M 15W t2/7mm</t>
  </si>
  <si>
    <t>ELH/M 9W t2/7mm</t>
  </si>
  <si>
    <t>konyhai lámpa</t>
  </si>
  <si>
    <t>http://www.fenyforras.hu/elh-m5w-landlite-01cel846-t2-7mm-kompakt-fenycso-minispiral-forma-p-1815418821.html</t>
  </si>
  <si>
    <t>ELH/M 5W t2/7mm</t>
  </si>
  <si>
    <t>E27</t>
  </si>
  <si>
    <t>E14</t>
  </si>
  <si>
    <t>E14 ELH/M 5W</t>
  </si>
  <si>
    <t>E27 ELH/M 15W</t>
  </si>
  <si>
    <t>E27 ELH/M 9W</t>
  </si>
  <si>
    <t>http://www.fenyforras.hu/elhs11w-landlite-01cel054b-t2-7mm-kompakt-fenycso-minispiral-forma-p-443171240.html</t>
  </si>
  <si>
    <t>ELHS 11W t2/7mm</t>
  </si>
  <si>
    <t>Landlite KIT 3x7W</t>
  </si>
  <si>
    <t>http://www.fenyforras.hu/kit5737w-landlite-kit5737w-beepitheto-lampa-komplett-szett-3x7w-kompakt-fenycsovel-izzok-kabelek-mellekelve-p-706885722.html</t>
  </si>
  <si>
    <t>GU10</t>
  </si>
  <si>
    <t>4380*10</t>
  </si>
  <si>
    <t>közlekedő közép</t>
  </si>
  <si>
    <t>lámpák</t>
  </si>
  <si>
    <t>csillár</t>
  </si>
  <si>
    <t>40W halogén</t>
  </si>
  <si>
    <t>Landlite KIT 57 3x7W</t>
  </si>
  <si>
    <t>Jaspis mosdócsap 3db, zuhanycsap 1db</t>
  </si>
  <si>
    <t>postaláda</t>
  </si>
  <si>
    <t>Vsz Zrt.</t>
  </si>
  <si>
    <t>8db kukazacskó</t>
  </si>
  <si>
    <t>PF Trading bihari út</t>
  </si>
  <si>
    <t>2db 4037 wc, 2db 45x35 mosdó, 1db 40x25, 1db fondo60x48, 2db laguna tartály</t>
  </si>
  <si>
    <t>zuhanycsap</t>
  </si>
  <si>
    <t>kádtöltőt albiba</t>
  </si>
  <si>
    <t>tengervill.hu</t>
  </si>
  <si>
    <t>1es</t>
  </si>
  <si>
    <t>2es</t>
  </si>
  <si>
    <t>burkolat közl., előtér</t>
  </si>
  <si>
    <t>adesilex p9 8 zsák</t>
  </si>
  <si>
    <t>járólap, csempe</t>
  </si>
  <si>
    <t>rag. Szalag</t>
  </si>
  <si>
    <t>közl.</t>
  </si>
  <si>
    <t>függ.</t>
  </si>
  <si>
    <t>vízsz.</t>
  </si>
  <si>
    <t>2szál 10mm dilat profil</t>
  </si>
  <si>
    <t>makita 4326</t>
  </si>
  <si>
    <t>bosch dekopir fűrészlapok</t>
  </si>
  <si>
    <t>kád csaptelep albiba</t>
  </si>
  <si>
    <t>kártyával</t>
  </si>
  <si>
    <t>1zuhanyszett és 1zuhany kádhoz</t>
  </si>
  <si>
    <t>mosdócsap albiba</t>
  </si>
  <si>
    <t>8db ufólámpa</t>
  </si>
  <si>
    <t>3db 11w égő</t>
  </si>
  <si>
    <t>2db wc papír tartó</t>
  </si>
  <si>
    <t>4db görgő</t>
  </si>
  <si>
    <t>1doboz stonewood hátralék</t>
  </si>
  <si>
    <t>1 mozaikcsempe</t>
  </si>
  <si>
    <t>bauhaus 4x5m</t>
  </si>
  <si>
    <t>isofoam xps 4mm</t>
  </si>
  <si>
    <t>2es keret</t>
  </si>
  <si>
    <t>3as</t>
  </si>
  <si>
    <t>4es</t>
  </si>
  <si>
    <t>5ös</t>
  </si>
  <si>
    <t>kapcsolo.superker.hu</t>
  </si>
  <si>
    <t>térképmásolat, tul. Lap.</t>
  </si>
  <si>
    <t>foly. Jutalék</t>
  </si>
  <si>
    <t>dupla dugalj</t>
  </si>
  <si>
    <t>laminált</t>
  </si>
  <si>
    <t>isofoam xps 42m2, 60m2, PE fólia, lerakószett</t>
  </si>
  <si>
    <t>30kg pellet</t>
  </si>
  <si>
    <t>védősisak, kesztyű</t>
  </si>
  <si>
    <t>2,5L narancs Dulux</t>
  </si>
  <si>
    <t>4db 5L Dulux Magnolia, 1db 5L Dulux Lotus Blossom</t>
  </si>
  <si>
    <t>1db 5L Dulux Magnolia, 1db Héra, 5kg széria, 2L falfix, 500db gk csavar</t>
  </si>
  <si>
    <t>40,8m2 laminált</t>
  </si>
  <si>
    <t>Szakszer</t>
  </si>
  <si>
    <t>6kw fűtőpatron</t>
  </si>
  <si>
    <t>Tengervill</t>
  </si>
  <si>
    <t>védődugó</t>
  </si>
  <si>
    <t>bigfoot</t>
  </si>
  <si>
    <t>szegélyléc 2,4m 22szál</t>
  </si>
  <si>
    <t>1manhattan, 1karamell, 1krétasárga fugázó</t>
  </si>
  <si>
    <t>1f, 2v</t>
  </si>
  <si>
    <t>3f, 3v</t>
  </si>
  <si>
    <t>11f, 2v</t>
  </si>
  <si>
    <t>3átmenő, 1vég</t>
  </si>
  <si>
    <t>14sima, 1váltó</t>
  </si>
  <si>
    <t>víz szerelvényezés, padláshőszigetelés</t>
  </si>
  <si>
    <t>kacsolók, dugók</t>
  </si>
  <si>
    <t>hullámpapír 50m2, 2db purhab</t>
  </si>
  <si>
    <t>padláshőszigetelés</t>
  </si>
  <si>
    <t>lámpák, szerelvények</t>
  </si>
  <si>
    <t>Olcsoszaniter.hu</t>
  </si>
  <si>
    <t>hansgrohe crometta unica és porter</t>
  </si>
  <si>
    <t>Bigfoot parketta</t>
  </si>
  <si>
    <t>3db Landlite KIT 57 3x7W, 1db GU10 foglalat</t>
  </si>
  <si>
    <t>6db Landlite KIT 57 3x7W</t>
  </si>
  <si>
    <t>geotextília előleg</t>
  </si>
  <si>
    <t>50m2 dryvit háló, 1db mester mindent tömítő</t>
  </si>
  <si>
    <t>1db bézs sziló</t>
  </si>
  <si>
    <t>padlás geotextília</t>
  </si>
  <si>
    <t>???</t>
  </si>
  <si>
    <t>B&amp;D KG2000 flex eladás</t>
  </si>
  <si>
    <t>1 raklap KMT 360db eladás</t>
  </si>
  <si>
    <t>1db 5L Dulux Magnolia eladás</t>
  </si>
  <si>
    <t>mosogatógép</t>
  </si>
  <si>
    <t>wc szekrény</t>
  </si>
  <si>
    <t>beépszekrény előtér</t>
  </si>
  <si>
    <t>beépszekrény szoba</t>
  </si>
  <si>
    <t>Dósafa</t>
  </si>
  <si>
    <t>munkalap összehúzó csavar 3db</t>
  </si>
  <si>
    <t>kg csövek, idomok</t>
  </si>
  <si>
    <t>geotextília 150m2</t>
  </si>
  <si>
    <t>adesilex p9 3 zsák vissza</t>
  </si>
  <si>
    <t>4db purhab, sziló, vinkli, sniccer, wd40</t>
  </si>
  <si>
    <t>előkert, sitt</t>
  </si>
  <si>
    <t>víz bekötés</t>
  </si>
  <si>
    <t>szennyvíz bekötés</t>
  </si>
  <si>
    <t>esőcsatorna</t>
  </si>
  <si>
    <t>2db lámpa vezetékkel</t>
  </si>
  <si>
    <t>gorm kamrapolc 2db, fogas, cipőtartó, vállfatartó</t>
  </si>
  <si>
    <t>függöny</t>
  </si>
  <si>
    <t>munkalap, vízvető 2x2,5fm</t>
  </si>
  <si>
    <t>külső nyílászárók, belső könyöklők</t>
  </si>
  <si>
    <t>hálós élvédő</t>
  </si>
  <si>
    <t>vízorros élvédő</t>
  </si>
  <si>
    <t>zsákos rag.</t>
  </si>
  <si>
    <t>dűbel tárcsa</t>
  </si>
  <si>
    <t>hőszig. Szelemen elé</t>
  </si>
  <si>
    <t>4cm-es</t>
  </si>
  <si>
    <t>320/2,5fm</t>
  </si>
  <si>
    <t>935/2,5fm</t>
  </si>
  <si>
    <t>2fm</t>
  </si>
  <si>
    <t>hőszignek raktárbérlet</t>
  </si>
  <si>
    <t>????????????</t>
  </si>
  <si>
    <t>hőszig fuvar</t>
  </si>
  <si>
    <t>fanyag vissza</t>
  </si>
  <si>
    <t>takaró fólia</t>
  </si>
  <si>
    <t>festőszalag</t>
  </si>
  <si>
    <t>25fm 40es gégecső</t>
  </si>
  <si>
    <t>járócserép, járórács vissza</t>
  </si>
  <si>
    <t>szennyvíz előleg</t>
  </si>
  <si>
    <t>szerelvényezés előleg</t>
  </si>
  <si>
    <t>Szatmári Kft.</t>
  </si>
  <si>
    <t>grundfos cirk. Szivattyú</t>
  </si>
  <si>
    <t>Diego</t>
  </si>
  <si>
    <t>fehér függöny</t>
  </si>
  <si>
    <t>4x3db kompakt fénycsöves izzó</t>
  </si>
  <si>
    <t>függönyvarrás</t>
  </si>
  <si>
    <t>Rákosi út barkács</t>
  </si>
  <si>
    <t>1db grado váltókapcsoló</t>
  </si>
  <si>
    <t>24es villáskulcs</t>
  </si>
  <si>
    <t>Rákosi út Luxvill</t>
  </si>
  <si>
    <t>vízóraakna csere+vízbekötés</t>
  </si>
  <si>
    <t>18db 25ös ytong eladás</t>
  </si>
  <si>
    <t>5db 10es ytong eladás</t>
  </si>
  <si>
    <t>ajtóbeépítés</t>
  </si>
  <si>
    <t>computherm q7 termosztát</t>
  </si>
  <si>
    <t>falazó hab.</t>
  </si>
  <si>
    <t>6cm-es</t>
  </si>
  <si>
    <t>4zsák baumit hf30 falazóhabarcs</t>
  </si>
  <si>
    <t>szennyvíz</t>
  </si>
  <si>
    <t>szerelvényezés, anyag+munkadíj</t>
  </si>
  <si>
    <t>hőszigeteléshez anyagok + 2x3000fuvar</t>
  </si>
  <si>
    <t>purhab pisztoly</t>
  </si>
  <si>
    <t>kapa, lapát</t>
  </si>
  <si>
    <t>szennyvízcsövezés</t>
  </si>
  <si>
    <t>szennyvíztisztító+bekötés+kiásás+beüzemelés</t>
  </si>
  <si>
    <t>Ecoidro beüzemelés</t>
  </si>
  <si>
    <t>2db flexicső, 48as csőhéj 1db</t>
  </si>
  <si>
    <t>Megatherm</t>
  </si>
  <si>
    <t>2db flexicső</t>
  </si>
  <si>
    <t>Kunkli Imi</t>
  </si>
  <si>
    <t>nyílászárók</t>
  </si>
  <si>
    <t>dryvit</t>
  </si>
  <si>
    <t>dryvit, villanyszerelés</t>
  </si>
  <si>
    <t>hőszig.</t>
  </si>
  <si>
    <t>38db pth25 eladás</t>
  </si>
  <si>
    <t>szennyvízt. Gödörásás</t>
  </si>
  <si>
    <t>vízorros élvédő, 1tekercs háló</t>
  </si>
  <si>
    <t>csőhéj. Szig</t>
  </si>
  <si>
    <t>távírányítós dugalj</t>
  </si>
  <si>
    <t>06203825763</t>
  </si>
  <si>
    <t>vác</t>
  </si>
  <si>
    <t>hétfőn lesz</t>
  </si>
  <si>
    <t>54</t>
  </si>
  <si>
    <t>06707707158</t>
  </si>
  <si>
    <t>göd</t>
  </si>
  <si>
    <t>06305060025</t>
  </si>
  <si>
    <t>gyöngyös</t>
  </si>
  <si>
    <t>49/47</t>
  </si>
  <si>
    <t>páty</t>
  </si>
  <si>
    <t>59/65</t>
  </si>
  <si>
    <t>06303080234</t>
  </si>
  <si>
    <t>06302981092</t>
  </si>
  <si>
    <t>papi koppány</t>
  </si>
  <si>
    <t>56</t>
  </si>
  <si>
    <t>70</t>
  </si>
  <si>
    <t>cegléd</t>
  </si>
  <si>
    <t>55</t>
  </si>
  <si>
    <t>06304015545</t>
  </si>
  <si>
    <t>http://www.restartkft.hu/</t>
  </si>
  <si>
    <t>fenyő?</t>
  </si>
  <si>
    <t>keményfa</t>
  </si>
  <si>
    <t>fenyő</t>
  </si>
  <si>
    <t>pénteken hoznak</t>
  </si>
  <si>
    <t>Fülöp Attila</t>
  </si>
  <si>
    <t>dryvit előleg</t>
  </si>
  <si>
    <t>tisztító bekötés</t>
  </si>
  <si>
    <t>Szerdszó</t>
  </si>
  <si>
    <t>tisztító lyuk kiásás</t>
  </si>
  <si>
    <t>csőhéj. Szig vissza</t>
  </si>
  <si>
    <t>gyorsszorító, rag szalag, időkapcsoló, sittes zsák, vödör</t>
  </si>
  <si>
    <t>Elektrolimit</t>
  </si>
  <si>
    <t>vésőkészlet</t>
  </si>
  <si>
    <t>slagg+slagkocsi</t>
  </si>
  <si>
    <t>előkert földmunka, sitt</t>
  </si>
  <si>
    <t>előkert hátralék</t>
  </si>
  <si>
    <t>szerszámok</t>
  </si>
  <si>
    <t>tisztítószerek</t>
  </si>
  <si>
    <t>szerelvényezés anyag előleg</t>
  </si>
  <si>
    <t>facsavar dűbeltárcsához</t>
  </si>
  <si>
    <t>betonkeverő bérlés</t>
  </si>
  <si>
    <t>Cegléd</t>
  </si>
  <si>
    <t>60kg pellet</t>
  </si>
  <si>
    <t>Gyöngyös</t>
  </si>
  <si>
    <t>szennyvíztisztító</t>
  </si>
  <si>
    <t>homlokzat szigetelés</t>
  </si>
  <si>
    <t>parketta sziló, ragasztó</t>
  </si>
  <si>
    <t>biszbaszok</t>
  </si>
  <si>
    <t>gk tipli</t>
  </si>
  <si>
    <t>biszbaszok, szekrény</t>
  </si>
  <si>
    <t>munkalap vissza</t>
  </si>
  <si>
    <t>munkalap vágással</t>
  </si>
  <si>
    <t>izzók, kerti csaphoz cuccok</t>
  </si>
  <si>
    <t>4x35kg pellet, 4 zsák</t>
  </si>
  <si>
    <t>Ste-fa</t>
  </si>
  <si>
    <t>függönykarnis</t>
  </si>
  <si>
    <t>szerelvényezés 60+15+20anyag-20előleg-10anyag</t>
  </si>
  <si>
    <t>szennyvízt. Gödörtemetés</t>
  </si>
  <si>
    <t>ajtócsukó vissza</t>
  </si>
  <si>
    <t>szénszűrő, konyhaelem</t>
  </si>
  <si>
    <t>flexicsövek vissza</t>
  </si>
  <si>
    <t>d125 csövek a kifolyáshoz</t>
  </si>
  <si>
    <t>20db kukazacskó</t>
  </si>
  <si>
    <t>lábrács</t>
  </si>
  <si>
    <t>csengő, 6fm gégecső, elem</t>
  </si>
  <si>
    <t>Villasor barkács</t>
  </si>
  <si>
    <t>pellet</t>
  </si>
  <si>
    <t>Papi Koppány</t>
  </si>
  <si>
    <t>Dolgozó</t>
  </si>
  <si>
    <t>Vendégszoba</t>
  </si>
  <si>
    <t>Háló</t>
  </si>
  <si>
    <t>Gyerekszoba</t>
  </si>
  <si>
    <t>Hely</t>
  </si>
  <si>
    <t>Folyosó bal</t>
  </si>
  <si>
    <t>Folyosó jobb</t>
  </si>
  <si>
    <t>Zuhanyzó</t>
  </si>
  <si>
    <t>Kamra</t>
  </si>
  <si>
    <t>Tároló</t>
  </si>
  <si>
    <t>Előkert</t>
  </si>
  <si>
    <t>Előtér</t>
  </si>
  <si>
    <t>Fogyasztók</t>
  </si>
  <si>
    <t>Nappali</t>
  </si>
  <si>
    <t>Folyosó közép</t>
  </si>
  <si>
    <t>TV felett</t>
  </si>
  <si>
    <t>Nappali ablakok előtt</t>
  </si>
  <si>
    <t>Fürdőszoba</t>
  </si>
  <si>
    <t>Mikró</t>
  </si>
  <si>
    <t>Vízmelegítő</t>
  </si>
  <si>
    <t>Hősugárzó</t>
  </si>
  <si>
    <t>TV</t>
  </si>
  <si>
    <t>Erősítő</t>
  </si>
  <si>
    <t>DVD</t>
  </si>
  <si>
    <t>Keringető 1.</t>
  </si>
  <si>
    <t>Keringető 2.</t>
  </si>
  <si>
    <t>Fogyasztó teljesítmény</t>
  </si>
  <si>
    <t>Mosógép</t>
  </si>
  <si>
    <t>Hűtő</t>
  </si>
  <si>
    <t>Működési idő nap/hónap</t>
  </si>
  <si>
    <t>Működési idő óra/nap</t>
  </si>
  <si>
    <t>Működési idő óra/hónap</t>
  </si>
  <si>
    <t>Fogyasztás</t>
  </si>
  <si>
    <t>Vezérlő</t>
  </si>
  <si>
    <t>Áramdíj</t>
  </si>
  <si>
    <t>Havi fogyasztás:</t>
  </si>
  <si>
    <t>Padlás</t>
  </si>
  <si>
    <t>Világítás</t>
  </si>
  <si>
    <t>Kenyérpirító</t>
  </si>
  <si>
    <t>Kandalló begyújtáskor</t>
  </si>
  <si>
    <t>Kandalló üzem közben</t>
  </si>
  <si>
    <t>Világítás:</t>
  </si>
  <si>
    <t>Fogyasztók:</t>
  </si>
  <si>
    <t>Kupa</t>
  </si>
  <si>
    <t>tükör</t>
  </si>
  <si>
    <t>kg csövek, idomok, 48as csőhéj</t>
  </si>
  <si>
    <t>2db semleges sziló tükörhöz</t>
  </si>
  <si>
    <t>dugalj a sz.tisztítóhoz</t>
  </si>
  <si>
    <t>BEKÖLTÜZTÜNK!!!!!!!!!!</t>
  </si>
  <si>
    <t>szike, érvéghüvely</t>
  </si>
  <si>
    <t>telek 5603</t>
  </si>
  <si>
    <t>telek 5604</t>
  </si>
  <si>
    <t>Knauf Ecose 5cm-es 1tekercs (21m2)</t>
  </si>
  <si>
    <t>multirock hőszigetelés 10cm-es 7,2m2 (2bála)</t>
  </si>
  <si>
    <t>multirock hőszigetelés 10cm-es 7,2m2 (2bála), 2db 300as dűbel</t>
  </si>
  <si>
    <t>szennyvíztisztító 1500€</t>
  </si>
  <si>
    <t>I-sells</t>
  </si>
  <si>
    <t>IECO4 szellőzőgép+2db G4 szűrő</t>
  </si>
  <si>
    <t>használatbavételire illetékbélyeg</t>
  </si>
  <si>
    <t>DT szellőzésnél:</t>
  </si>
  <si>
    <t>Naplopó Kft.</t>
  </si>
  <si>
    <t>aeroflex 19mm szigetelés 4m2</t>
  </si>
  <si>
    <t>cuccok</t>
  </si>
  <si>
    <t>2011</t>
  </si>
  <si>
    <t>szifonhoz cuccok</t>
  </si>
  <si>
    <t>Külső hőmérséklet</t>
  </si>
  <si>
    <t>c</t>
  </si>
  <si>
    <t>dt</t>
  </si>
  <si>
    <t>de</t>
  </si>
  <si>
    <t>egyéb költség</t>
  </si>
  <si>
    <t>Szellőzés - alapjárat</t>
  </si>
  <si>
    <t>Szellőzés - fürdéskor</t>
  </si>
  <si>
    <t>Konyha - spotok</t>
  </si>
  <si>
    <t>Konyha - mosogató felett</t>
  </si>
  <si>
    <t>Napi pellet szükséglet fűtés</t>
  </si>
  <si>
    <t>Napi pellet szükséglet HMV</t>
  </si>
  <si>
    <t>átlagos ház</t>
  </si>
  <si>
    <t>mostani állapot</t>
  </si>
  <si>
    <t>beszívott</t>
  </si>
  <si>
    <t>elszívott</t>
  </si>
  <si>
    <t>befújt</t>
  </si>
  <si>
    <t>Knauf Ecose 10cm-es 1tekercs</t>
  </si>
  <si>
    <t>akril, rag szalag</t>
  </si>
  <si>
    <t>csőbilincs kandalló frisslevegő csövéhez</t>
  </si>
  <si>
    <t>feltüntetési vázrajz</t>
  </si>
  <si>
    <t>34x15kg pellet 510kg</t>
  </si>
  <si>
    <t>apróságok, sziló, polcok</t>
  </si>
  <si>
    <t>25db kukazacskó</t>
  </si>
  <si>
    <t>Belső hőmérséklet</t>
  </si>
  <si>
    <t>porszívó</t>
  </si>
  <si>
    <t>tápszermelegítő</t>
  </si>
  <si>
    <t>Laptop Nóri</t>
  </si>
  <si>
    <t>Laptop Csabi</t>
  </si>
  <si>
    <t>Monitor 19col</t>
  </si>
  <si>
    <t>Laptop Csabi standby</t>
  </si>
  <si>
    <t>Laptop Nóri standby</t>
  </si>
  <si>
    <t>Nyomtató</t>
  </si>
  <si>
    <t>Fürdőszoba falikar 1</t>
  </si>
  <si>
    <t>Fürdőszoba falikar 2</t>
  </si>
  <si>
    <t>kidobott</t>
  </si>
  <si>
    <t>Dolgozó asztali lámpa Nóri</t>
  </si>
  <si>
    <t>Dolgozó asztali lámpa Csabi</t>
  </si>
  <si>
    <t>kivitelezés költsége</t>
  </si>
  <si>
    <t>Használati idő:</t>
  </si>
  <si>
    <t>3x15kg pellet 45kg</t>
  </si>
  <si>
    <t>benzin</t>
  </si>
  <si>
    <t>30x15kg pellet 450kg 17db zsák visszaX100ft</t>
  </si>
  <si>
    <t>15x35kg+35x15kg pellet 1050kg 15db zsákX100ft, 5000fuvar 47,49ft</t>
  </si>
  <si>
    <t>virágföld</t>
  </si>
  <si>
    <t>Posta</t>
  </si>
  <si>
    <t>rezsi</t>
  </si>
  <si>
    <t>Benzin</t>
  </si>
  <si>
    <t>kaja</t>
  </si>
  <si>
    <t>Patika</t>
  </si>
  <si>
    <t>gyógyszer</t>
  </si>
  <si>
    <t>Móczár Zsolt</t>
  </si>
  <si>
    <t>zabital</t>
  </si>
  <si>
    <t>Zöldséges</t>
  </si>
  <si>
    <t>z-gy</t>
  </si>
  <si>
    <t>zöldség-gyümölcs</t>
  </si>
  <si>
    <t>grundfos cirk. Szivattyú eladás</t>
  </si>
  <si>
    <t>Gubányi János</t>
  </si>
  <si>
    <t>Zöldbolt</t>
  </si>
  <si>
    <t>mosódió stb</t>
  </si>
  <si>
    <t>drogéria</t>
  </si>
  <si>
    <t>Cora</t>
  </si>
  <si>
    <t>ruhák Rékának, cipó, pizsama Nórinak</t>
  </si>
  <si>
    <t>ruha</t>
  </si>
  <si>
    <t>Pellet ár:</t>
  </si>
  <si>
    <t>posta</t>
  </si>
  <si>
    <t>péksüti</t>
  </si>
  <si>
    <t>levélfeladás</t>
  </si>
  <si>
    <t>reggeli</t>
  </si>
  <si>
    <t>tojás</t>
  </si>
  <si>
    <t>jóga</t>
  </si>
  <si>
    <t>hobbi</t>
  </si>
  <si>
    <t>néptánc</t>
  </si>
  <si>
    <t>Napórásház</t>
  </si>
  <si>
    <t>Cukrászda</t>
  </si>
  <si>
    <t>rétes</t>
  </si>
  <si>
    <t>kerti papucs</t>
  </si>
  <si>
    <t>autó</t>
  </si>
  <si>
    <t>Benzinkút</t>
  </si>
  <si>
    <t>autópályamatrica</t>
  </si>
  <si>
    <t>Fodrász</t>
  </si>
  <si>
    <t>Réka fodrász</t>
  </si>
  <si>
    <t>Kozmetikus HB</t>
  </si>
  <si>
    <t>HB bulizás</t>
  </si>
  <si>
    <t>HB termál</t>
  </si>
  <si>
    <t>virág stb</t>
  </si>
  <si>
    <t>HB</t>
  </si>
  <si>
    <t>Rékának fürdőköpeny</t>
  </si>
  <si>
    <t>ajándék gyerekeknek</t>
  </si>
  <si>
    <t>virág</t>
  </si>
  <si>
    <t>roló, akasztó</t>
  </si>
  <si>
    <t>ház</t>
  </si>
  <si>
    <t>törölköző, terítő</t>
  </si>
  <si>
    <t>wc polchoz fa</t>
  </si>
  <si>
    <t>pelenka, zabital stb</t>
  </si>
  <si>
    <t>lapszabászat</t>
  </si>
  <si>
    <t>wc polc</t>
  </si>
  <si>
    <t>ajándék Pablonak</t>
  </si>
  <si>
    <t>CA</t>
  </si>
  <si>
    <t>Húsbolt</t>
  </si>
  <si>
    <t>hús</t>
  </si>
  <si>
    <t>csavarok, tiplik</t>
  </si>
  <si>
    <t>a4 papír</t>
  </si>
  <si>
    <t>sziló vissza</t>
  </si>
  <si>
    <t>méz</t>
  </si>
  <si>
    <t>Mézes</t>
  </si>
  <si>
    <t>Nóri bulizás</t>
  </si>
  <si>
    <t>konyha takarólap, képkeret</t>
  </si>
  <si>
    <t>takarólap</t>
  </si>
  <si>
    <t>Konyha páraelszívó</t>
  </si>
  <si>
    <t>néptánc bérlet</t>
  </si>
  <si>
    <t>Piac</t>
  </si>
  <si>
    <t>Rékának sapka</t>
  </si>
  <si>
    <t>zenebölcsi</t>
  </si>
  <si>
    <t>Taxi</t>
  </si>
  <si>
    <t>taxi</t>
  </si>
  <si>
    <t>Vigh Gyuri</t>
  </si>
  <si>
    <t>önindító javítás</t>
  </si>
  <si>
    <t>utalás</t>
  </si>
  <si>
    <t>Szendre Önk.</t>
  </si>
  <si>
    <t>MÁV</t>
  </si>
  <si>
    <t>vonatjegy</t>
  </si>
  <si>
    <t>BKV</t>
  </si>
  <si>
    <t>vonaljegy</t>
  </si>
  <si>
    <t>zabital, sampon stb</t>
  </si>
  <si>
    <t>benzin Peugeotba</t>
  </si>
  <si>
    <t>dobozok, kések</t>
  </si>
  <si>
    <t>parkolás</t>
  </si>
  <si>
    <t>OEP</t>
  </si>
  <si>
    <t>nyomtatvány</t>
  </si>
  <si>
    <t>terítő, kreatív bolt, kozmetika</t>
  </si>
  <si>
    <t>jógabérlet</t>
  </si>
  <si>
    <t>sitteszsák</t>
  </si>
  <si>
    <t>vonaljegy, hév</t>
  </si>
  <si>
    <t>római ebéd, fagyi</t>
  </si>
  <si>
    <t>véső kölcsönzés</t>
  </si>
  <si>
    <t>kalapács</t>
  </si>
  <si>
    <t>fagyi</t>
  </si>
  <si>
    <t>Fagyi</t>
  </si>
  <si>
    <t>Manókert</t>
  </si>
  <si>
    <t>Réka ovi</t>
  </si>
  <si>
    <t>25m2 eps80</t>
  </si>
  <si>
    <t>Réka bringa</t>
  </si>
  <si>
    <t>C&amp;A</t>
  </si>
  <si>
    <t>gyerekruhák</t>
  </si>
  <si>
    <t>pizza</t>
  </si>
  <si>
    <t>Nóri fodrász</t>
  </si>
  <si>
    <t>ajándék Nadinnak</t>
  </si>
  <si>
    <t>ruhák Nóri</t>
  </si>
  <si>
    <t>Réka 2pár cipő</t>
  </si>
  <si>
    <t>erkölcsi biz.</t>
  </si>
  <si>
    <t>Turi</t>
  </si>
  <si>
    <t>majális buli</t>
  </si>
  <si>
    <t>ajándék Botondnak</t>
  </si>
  <si>
    <t>sima házhoz képest plusz</t>
  </si>
  <si>
    <t>bélyegző</t>
  </si>
  <si>
    <t>gyerekcipők 4pár</t>
  </si>
  <si>
    <t>só</t>
  </si>
  <si>
    <t>vastagság</t>
  </si>
  <si>
    <t>ár/tábla</t>
  </si>
  <si>
    <t>tábla szükséglet</t>
  </si>
  <si>
    <t>m2 szükséglet</t>
  </si>
  <si>
    <t>xps lábazatra</t>
  </si>
  <si>
    <t>Pékség</t>
  </si>
  <si>
    <t>irodaszer, homokozó</t>
  </si>
  <si>
    <t>jégkrém</t>
  </si>
  <si>
    <t>Mogyoróhegy</t>
  </si>
  <si>
    <t>Réka ruhák</t>
  </si>
  <si>
    <t>üvegek, fűszernövények</t>
  </si>
  <si>
    <t>gyerekek fodrász</t>
  </si>
  <si>
    <t>kisautó</t>
  </si>
  <si>
    <t>CBA</t>
  </si>
  <si>
    <t>könyvek</t>
  </si>
  <si>
    <t>Bookline</t>
  </si>
  <si>
    <t>kozmetika</t>
  </si>
  <si>
    <t>gyereknapi ajándék</t>
  </si>
  <si>
    <t>Réka, Nóri ruhák (zoknik, kisnadrág, bemelegítő)</t>
  </si>
  <si>
    <t>sör</t>
  </si>
  <si>
    <t>fagyi, tájház</t>
  </si>
  <si>
    <t>Dóri body</t>
  </si>
  <si>
    <t>Patronpartner</t>
  </si>
  <si>
    <t>toner</t>
  </si>
  <si>
    <t>elválasztó papír</t>
  </si>
  <si>
    <t>Papírbolt</t>
  </si>
  <si>
    <t>nyomtatás</t>
  </si>
  <si>
    <t>Kőházy festék</t>
  </si>
  <si>
    <t>biokill, simító</t>
  </si>
  <si>
    <t>Ábel ajándék</t>
  </si>
  <si>
    <t>girll+faszén</t>
  </si>
  <si>
    <t>izzók</t>
  </si>
  <si>
    <t>Decathlon</t>
  </si>
  <si>
    <t>ugrókötél</t>
  </si>
  <si>
    <t>biciklibelső</t>
  </si>
  <si>
    <t>1 tekercs dryvit háló</t>
  </si>
  <si>
    <t>sziló nyomó, csiszolópapír</t>
  </si>
  <si>
    <t>Balaton</t>
  </si>
  <si>
    <t>kaja tesco</t>
  </si>
  <si>
    <t>ebéd</t>
  </si>
  <si>
    <t>naptej</t>
  </si>
  <si>
    <t>Holló művek</t>
  </si>
  <si>
    <t>6m3 konténer</t>
  </si>
  <si>
    <t>térkő</t>
  </si>
  <si>
    <t>szegély</t>
  </si>
  <si>
    <t>anyag egységár</t>
  </si>
  <si>
    <t>munkadíj egységár</t>
  </si>
  <si>
    <t>metszőolló, locsolófej</t>
  </si>
  <si>
    <t>Réka fürdőruha</t>
  </si>
  <si>
    <t>szandálok, gyereknapszemüveg, táska</t>
  </si>
  <si>
    <t>Rita ajándék</t>
  </si>
  <si>
    <t>Tahi eperfesztivál</t>
  </si>
  <si>
    <t>dodgem, ajándék</t>
  </si>
  <si>
    <t>lépcső szegély</t>
  </si>
  <si>
    <t>FN beton</t>
  </si>
  <si>
    <t>2szer rostált sóder</t>
  </si>
  <si>
    <t>Szennyvíz Kompresszor</t>
  </si>
  <si>
    <t>Nóri mérlegképes</t>
  </si>
  <si>
    <t>parketta szegőléc</t>
  </si>
  <si>
    <t>kávé</t>
  </si>
  <si>
    <t>turi</t>
  </si>
  <si>
    <t>kontaktlencse folyadék</t>
  </si>
  <si>
    <t>MEK</t>
  </si>
  <si>
    <t>vizsgadíj</t>
  </si>
  <si>
    <t>Bíró Zrt</t>
  </si>
  <si>
    <t>fagyizás</t>
  </si>
  <si>
    <t>Papsziget</t>
  </si>
  <si>
    <t>PTH áthidaló 1,75fm eladás</t>
  </si>
  <si>
    <t>Burger King</t>
  </si>
  <si>
    <t>fagyizás Sanyival</t>
  </si>
  <si>
    <t>2zsák homok homokozóba</t>
  </si>
  <si>
    <t>Puscho</t>
  </si>
  <si>
    <t>penge, munkáskesztyű</t>
  </si>
  <si>
    <t>6m2 XPS eladás</t>
  </si>
  <si>
    <t>Réka néptánc</t>
  </si>
  <si>
    <t>virág Erika néninek</t>
  </si>
  <si>
    <t>térkő fuvar</t>
  </si>
  <si>
    <t>Gazdabolt</t>
  </si>
  <si>
    <t>biokill</t>
  </si>
  <si>
    <t>Virágbolt</t>
  </si>
  <si>
    <t>25m2 felületszivárgó</t>
  </si>
  <si>
    <t>besöprő homok 0-1</t>
  </si>
  <si>
    <t>termőföld</t>
  </si>
  <si>
    <t>5db szegély, 10db támfalelem</t>
  </si>
  <si>
    <t>108db támfalelem</t>
  </si>
  <si>
    <t>raklapok</t>
  </si>
  <si>
    <t>6,75m2 XPS, 2zsák ragasztó eladás</t>
  </si>
  <si>
    <t>xilit</t>
  </si>
  <si>
    <t>3800km</t>
  </si>
  <si>
    <t>3m3 föld, 1m3 sóder, 5 zsák homok, 4m3 FN beton</t>
  </si>
  <si>
    <t>Járda és támfal</t>
  </si>
  <si>
    <t>folyóka</t>
  </si>
  <si>
    <t>Peti</t>
  </si>
  <si>
    <t>Bándli Laci</t>
  </si>
  <si>
    <t>térkövezés</t>
  </si>
  <si>
    <t>Behajtó</t>
  </si>
  <si>
    <t>zsalukő 15ös</t>
  </si>
  <si>
    <t>alap beton</t>
  </si>
  <si>
    <t>1,5m3</t>
  </si>
  <si>
    <t>zsalukőbe beton</t>
  </si>
  <si>
    <t>0,5m3</t>
  </si>
  <si>
    <t>8500raklapdíj</t>
  </si>
  <si>
    <t>fagyizás Mamákkal</t>
  </si>
  <si>
    <t>égőfoglalat, 4db égő</t>
  </si>
  <si>
    <t>kg idomok</t>
  </si>
  <si>
    <t>Autósbolt villasor</t>
  </si>
  <si>
    <t>benzinlopó</t>
  </si>
  <si>
    <t>befőttesüvegek</t>
  </si>
  <si>
    <t>Strand</t>
  </si>
  <si>
    <t>virágok, kaspók</t>
  </si>
  <si>
    <t>konyharuha</t>
  </si>
  <si>
    <t>belépő</t>
  </si>
  <si>
    <t>Füstgép bérlés</t>
  </si>
  <si>
    <t>vacsora csárdában</t>
  </si>
  <si>
    <t>székpárna</t>
  </si>
  <si>
    <t>pékség</t>
  </si>
  <si>
    <t>100000km</t>
  </si>
  <si>
    <t>legénybúcsú</t>
  </si>
  <si>
    <t>2db kosár lányoknak</t>
  </si>
  <si>
    <t>fürdőbugyi</t>
  </si>
  <si>
    <t>van</t>
  </si>
  <si>
    <t>ár/cm</t>
  </si>
  <si>
    <t>2m2 EPS 5cm, 10zsák ragasztó eladás</t>
  </si>
  <si>
    <t>Árkád</t>
  </si>
  <si>
    <t>ajándékok, Botondnak, Sancinak, képeslap</t>
  </si>
  <si>
    <t>Nórianyu -10000</t>
  </si>
  <si>
    <t>szoknya, napszemüveg, fülbevaló, harisnya</t>
  </si>
  <si>
    <t>turi, illatszer</t>
  </si>
  <si>
    <t>szúnyogháló</t>
  </si>
  <si>
    <t>Bárdos Laci</t>
  </si>
  <si>
    <t>dryvit munkdíj hátralék</t>
  </si>
  <si>
    <t>Nóri</t>
  </si>
  <si>
    <t>Réka pizsama</t>
  </si>
  <si>
    <t>MÓVÁR</t>
  </si>
  <si>
    <t>Kozmetikus MÓVÁR</t>
  </si>
  <si>
    <t>Fodrász MÓVÁR</t>
  </si>
  <si>
    <t>ZEG</t>
  </si>
  <si>
    <t>lagzi</t>
  </si>
  <si>
    <t>lagzi szállás</t>
  </si>
  <si>
    <t>101000km</t>
  </si>
  <si>
    <t>elad</t>
  </si>
  <si>
    <t>EPS vágó eladás</t>
  </si>
  <si>
    <t>Dóri fodrász</t>
  </si>
  <si>
    <t>szappantartó+porseprű</t>
  </si>
  <si>
    <t>virágföld, sámli, kaspó</t>
  </si>
  <si>
    <t>peugeotba olaj, szűrők</t>
  </si>
  <si>
    <t>Pismányi autósbolt</t>
  </si>
  <si>
    <t>Egy hónapban:</t>
  </si>
  <si>
    <t>REZSI:</t>
  </si>
  <si>
    <t>szúnyogháló felrakás</t>
  </si>
  <si>
    <t>Dorka ágya</t>
  </si>
  <si>
    <t>küszöbök</t>
  </si>
  <si>
    <t>nappali 2 lógó spot</t>
  </si>
  <si>
    <t>nappali GK lyuk</t>
  </si>
  <si>
    <t>ablakok-vakolat tömítés kivülről</t>
  </si>
  <si>
    <t>ajtók-teraszajtó légzárás</t>
  </si>
  <si>
    <t>tároló kapcsolószekrény légzárás</t>
  </si>
  <si>
    <t>padlás szelemen mögött purhabozni</t>
  </si>
  <si>
    <t>előkert vízelvezetés</t>
  </si>
  <si>
    <t>riasztó</t>
  </si>
  <si>
    <t>Réka ágya</t>
  </si>
  <si>
    <t>Rékának csatok</t>
  </si>
  <si>
    <t>Rékának nadrág</t>
  </si>
  <si>
    <t>Rékának kifestő</t>
  </si>
  <si>
    <t>Borinak ajándék</t>
  </si>
  <si>
    <t>Nóri táska</t>
  </si>
  <si>
    <t>termosztátok helyének leragasztása</t>
  </si>
  <si>
    <t>ajtók, ablakok olajozása</t>
  </si>
  <si>
    <t>fürdőszoba fogasok</t>
  </si>
  <si>
    <t>zuhanytartó</t>
  </si>
  <si>
    <t>tükör szilózás</t>
  </si>
  <si>
    <t>lavor</t>
  </si>
  <si>
    <t>Bogács</t>
  </si>
  <si>
    <t>strand belépő</t>
  </si>
  <si>
    <t>strand kaja</t>
  </si>
  <si>
    <t>horgász jegy, bot Rékának</t>
  </si>
  <si>
    <t>gumilabda gyerekeknek</t>
  </si>
  <si>
    <t>autópálya matrica</t>
  </si>
  <si>
    <t>étterem</t>
  </si>
  <si>
    <t>bográcsozás, lángos</t>
  </si>
  <si>
    <t>z-gy, lecsónak való</t>
  </si>
  <si>
    <t>CORA</t>
  </si>
  <si>
    <t>Rékának ruha</t>
  </si>
  <si>
    <t>INTERNET</t>
  </si>
  <si>
    <t>HITEL</t>
  </si>
  <si>
    <t>MOBIL</t>
  </si>
  <si>
    <t>Rékának benti cipő</t>
  </si>
  <si>
    <t>fagyi, pogi</t>
  </si>
  <si>
    <t>ajándék uncsitesóknak</t>
  </si>
  <si>
    <t>Rékának ovis bögre</t>
  </si>
  <si>
    <t>polcok-konyvtámasz</t>
  </si>
  <si>
    <t>hotdog</t>
  </si>
  <si>
    <t>kontaktlencse</t>
  </si>
  <si>
    <t>Máv</t>
  </si>
  <si>
    <t>hátsókerti világítás</t>
  </si>
  <si>
    <t>Edigital</t>
  </si>
  <si>
    <t>fotóelőhívás</t>
  </si>
  <si>
    <t>porszívó alkatrészek</t>
  </si>
  <si>
    <t>strand</t>
  </si>
  <si>
    <t>Réka nadrág</t>
  </si>
  <si>
    <t>olajcsere</t>
  </si>
  <si>
    <t>102000km</t>
  </si>
  <si>
    <t>epres matrica</t>
  </si>
  <si>
    <t>utcabál babgulyás</t>
  </si>
  <si>
    <t>könyvek: Anna és Peti, mesekönyv</t>
  </si>
  <si>
    <t>Réka ajándék</t>
  </si>
  <si>
    <t>A4 papír</t>
  </si>
  <si>
    <t>láncfűrész lánc, olaj</t>
  </si>
  <si>
    <t>Réka szülinapi marcipán, gyertya</t>
  </si>
  <si>
    <t>netkábelt elrejteni</t>
  </si>
  <si>
    <t>esővízejtők föld alá, dréncső</t>
  </si>
  <si>
    <t>gépészetben osztók alatt kiönteni padloponnal</t>
  </si>
  <si>
    <t>Réka őszi nadrág</t>
  </si>
  <si>
    <t>kozmetikus</t>
  </si>
  <si>
    <t>Móvár</t>
  </si>
  <si>
    <t>Ákosnak lóvé vissza</t>
  </si>
  <si>
    <t>Pannon</t>
  </si>
  <si>
    <t>galaxy gio teló</t>
  </si>
  <si>
    <t>Jóga</t>
  </si>
  <si>
    <t>Aldi</t>
  </si>
  <si>
    <t>ablaktisztító nyél</t>
  </si>
  <si>
    <t>sziló rag, pill. Rag</t>
  </si>
  <si>
    <t>KG idom</t>
  </si>
  <si>
    <t>fénykép</t>
  </si>
  <si>
    <t>Barkács</t>
  </si>
  <si>
    <t>Rézműhely</t>
  </si>
  <si>
    <t>Pomáz bádogosbolt</t>
  </si>
  <si>
    <t>eresz lefolyók, könyökök</t>
  </si>
  <si>
    <t>flex korong, eps dűbel</t>
  </si>
  <si>
    <t>képragasztó</t>
  </si>
  <si>
    <t>homokozókészlet</t>
  </si>
  <si>
    <t>lányok fodrász</t>
  </si>
  <si>
    <t>folyékony szappan</t>
  </si>
  <si>
    <t>KPE cső</t>
  </si>
  <si>
    <t>gyerekeknek hótaposó</t>
  </si>
  <si>
    <t>Réka harisnya</t>
  </si>
  <si>
    <t>Mónika ajándék</t>
  </si>
  <si>
    <t>szamos csoki névadó ajándék</t>
  </si>
  <si>
    <t>karton</t>
  </si>
  <si>
    <t>névadó díj</t>
  </si>
  <si>
    <t>szappanok, folttisztító</t>
  </si>
  <si>
    <t>Leányfalu biobolt</t>
  </si>
  <si>
    <t>játszóház</t>
  </si>
  <si>
    <t>Möbelix</t>
  </si>
  <si>
    <t>fogas</t>
  </si>
  <si>
    <t>Dorka névadó</t>
  </si>
  <si>
    <t>Dorka ruha</t>
  </si>
  <si>
    <t>Nóri hótaposó</t>
  </si>
  <si>
    <t>Réka atléta, bugyi</t>
  </si>
  <si>
    <t>önt. Tapéta</t>
  </si>
  <si>
    <t>tányérok</t>
  </si>
  <si>
    <t>Botond ajándék</t>
  </si>
  <si>
    <t>virágbolt</t>
  </si>
  <si>
    <t>Réka ebédpénz okt.</t>
  </si>
  <si>
    <t>Réka ebédpénz szept.</t>
  </si>
  <si>
    <t>kész</t>
  </si>
  <si>
    <t>prioritás</t>
  </si>
  <si>
    <t>feladat</t>
  </si>
  <si>
    <t>szennyvíziszap lemerés</t>
  </si>
  <si>
    <t>Réka cipő</t>
  </si>
  <si>
    <t>Réka kabát, sapkák, kesztyű</t>
  </si>
  <si>
    <t>greeneconomy</t>
  </si>
  <si>
    <t>befizetés számlára</t>
  </si>
  <si>
    <t>peugeot légszűrő</t>
  </si>
  <si>
    <t>06204311265</t>
  </si>
  <si>
    <t>megyeri út</t>
  </si>
  <si>
    <t>okt 27</t>
  </si>
  <si>
    <t>65</t>
  </si>
  <si>
    <t>Schmidt András</t>
  </si>
  <si>
    <t>400kg pellet</t>
  </si>
  <si>
    <t>Dóri alvózsák</t>
  </si>
  <si>
    <t>bélyegző fele</t>
  </si>
  <si>
    <t>NYERESÉGEK:</t>
  </si>
  <si>
    <t>VESZTESÉGEK:</t>
  </si>
  <si>
    <t>Hőcserélős szellőztető üzemnap a fűtési idényben:</t>
  </si>
  <si>
    <t>kis zsák</t>
  </si>
  <si>
    <t>nagy zsák</t>
  </si>
  <si>
    <t>2011.10.15</t>
  </si>
  <si>
    <t>2011.10.22</t>
  </si>
  <si>
    <t>Dóri cipő</t>
  </si>
  <si>
    <t>Nóri kesztyű</t>
  </si>
  <si>
    <t>Réka névnap könyv</t>
  </si>
  <si>
    <t>reggeli péksüti</t>
  </si>
  <si>
    <t>gio fólia</t>
  </si>
  <si>
    <t>Réka névnapra vásárlás</t>
  </si>
  <si>
    <t>uszoda, temető</t>
  </si>
  <si>
    <t>a4 papír, számlatömb</t>
  </si>
  <si>
    <t>Tahi</t>
  </si>
  <si>
    <t>z-gy oviba</t>
  </si>
  <si>
    <t>Réka ebédpénz+csoportpénz</t>
  </si>
  <si>
    <t>Réka névnapi ajándék</t>
  </si>
  <si>
    <t>Réka könyv</t>
  </si>
  <si>
    <t>cukrászda</t>
  </si>
  <si>
    <t>Frey Kft.</t>
  </si>
  <si>
    <t>Nóri fogászat</t>
  </si>
  <si>
    <t>Réka ruha</t>
  </si>
  <si>
    <t>2011.11.10</t>
  </si>
  <si>
    <t>padláson</t>
  </si>
  <si>
    <t>Móczár Zs</t>
  </si>
  <si>
    <t>zsaludeszka eladás</t>
  </si>
  <si>
    <t>terítő</t>
  </si>
  <si>
    <t>Nóri farmer</t>
  </si>
  <si>
    <t>ajándék könyvek</t>
  </si>
  <si>
    <t>ajándék</t>
  </si>
  <si>
    <t>2011.11.17</t>
  </si>
  <si>
    <t>rendelő büfé</t>
  </si>
  <si>
    <t>ruhatisztító</t>
  </si>
  <si>
    <t>Réka sapka, kesztyűk</t>
  </si>
  <si>
    <t>Coop</t>
  </si>
  <si>
    <t>100szál 8as betonvas eladás</t>
  </si>
  <si>
    <t>12fm szig. Csík</t>
  </si>
  <si>
    <t>fodrász</t>
  </si>
  <si>
    <t>karácsonyi dísz</t>
  </si>
  <si>
    <t>Réka overall</t>
  </si>
  <si>
    <t>Nóri sapka</t>
  </si>
  <si>
    <t>Dorka torna bérlet</t>
  </si>
  <si>
    <t>virágboltba adventi koszorúhoz cuccok</t>
  </si>
  <si>
    <t>a4 papír, telefon</t>
  </si>
  <si>
    <t>Reprocopy</t>
  </si>
  <si>
    <t>papír</t>
  </si>
  <si>
    <t>leolvasás</t>
  </si>
  <si>
    <t>óraállás NAPPALI</t>
  </si>
  <si>
    <t>óraállás VEZÉRELT</t>
  </si>
  <si>
    <t>csúszda</t>
  </si>
  <si>
    <t>2011.12.2</t>
  </si>
  <si>
    <t>lakók</t>
  </si>
  <si>
    <t>elektr. Készülékek</t>
  </si>
  <si>
    <t>Hulladékhő /nyereség/:</t>
  </si>
  <si>
    <t>télapós ajándékok</t>
  </si>
  <si>
    <t>aksi</t>
  </si>
  <si>
    <t>fagyálló</t>
  </si>
  <si>
    <t>fogyasztás nappali</t>
  </si>
  <si>
    <t>fogyasztás vezérelt</t>
  </si>
  <si>
    <t>Réka ovi ebéd dec</t>
  </si>
  <si>
    <t>teflonszalag</t>
  </si>
  <si>
    <t>40es T idom</t>
  </si>
  <si>
    <t>boriték</t>
  </si>
  <si>
    <t>Réka színház+néptánc</t>
  </si>
  <si>
    <t>Réka dec csoportpénz</t>
  </si>
  <si>
    <t>Bluefilters RO</t>
  </si>
  <si>
    <t>ajándékok Réka, Dorka kari</t>
  </si>
  <si>
    <t>ajándékok Enikő, Gergő</t>
  </si>
  <si>
    <t>kötélhágcsó</t>
  </si>
  <si>
    <t>tálca,mécses,karácsonyi szalvéta,gumi</t>
  </si>
  <si>
    <t>wc papír</t>
  </si>
  <si>
    <t>kávé, gylé</t>
  </si>
  <si>
    <t>szánkó</t>
  </si>
  <si>
    <t>kombifogó</t>
  </si>
  <si>
    <t>perlátor</t>
  </si>
  <si>
    <t>DIGITV</t>
  </si>
  <si>
    <t>tv szerelés</t>
  </si>
  <si>
    <t>2011.12.17</t>
  </si>
  <si>
    <t>puncs, kürtőskalács</t>
  </si>
  <si>
    <t>papír Rékának</t>
  </si>
  <si>
    <t>Vera ajándék</t>
  </si>
  <si>
    <t>Nóri kabát</t>
  </si>
  <si>
    <t>Réka gyöngyfűző</t>
  </si>
  <si>
    <t>buszjegy</t>
  </si>
  <si>
    <t>kari ajándékok gyerekeknek</t>
  </si>
  <si>
    <t>WMF edény</t>
  </si>
  <si>
    <t>szélvédőmosó</t>
  </si>
  <si>
    <t>máltainak ajándék</t>
  </si>
  <si>
    <t>karácsonyfa égő</t>
  </si>
  <si>
    <t>kosár ajándék</t>
  </si>
  <si>
    <t>hal</t>
  </si>
  <si>
    <t>mézeskalácshoz</t>
  </si>
  <si>
    <t>fogászat</t>
  </si>
  <si>
    <t>pedikűr</t>
  </si>
  <si>
    <t>nyakláncra gumi</t>
  </si>
  <si>
    <t>300kg pellet</t>
  </si>
  <si>
    <t>fenyőfa</t>
  </si>
  <si>
    <t>domainek</t>
  </si>
  <si>
    <t>kávé benzinkúton</t>
  </si>
  <si>
    <t>fekvőtámaszpad, írótábla</t>
  </si>
  <si>
    <t>Nóri anyu ajándékok</t>
  </si>
  <si>
    <t>dédiék ajándék</t>
  </si>
  <si>
    <t>temetőbe virág</t>
  </si>
  <si>
    <t>szalámi</t>
  </si>
  <si>
    <t>benzinkút keksz</t>
  </si>
  <si>
    <t>anyu ajándék</t>
  </si>
  <si>
    <t>pia</t>
  </si>
  <si>
    <t>szilveszter</t>
  </si>
  <si>
    <t>akkusaru</t>
  </si>
  <si>
    <t>ajtójavítás</t>
  </si>
  <si>
    <t>Réka ebéd+csoportpénz</t>
  </si>
  <si>
    <t>Biobolt</t>
  </si>
  <si>
    <t>Anyu ajándék</t>
  </si>
  <si>
    <t>WC szifon csere</t>
  </si>
  <si>
    <t>bittartó</t>
  </si>
  <si>
    <t>bordásfal</t>
  </si>
  <si>
    <t>bringás cuccok</t>
  </si>
  <si>
    <t>Benedek takaró 1/2</t>
  </si>
  <si>
    <t>játszóház budakalász</t>
  </si>
  <si>
    <t>Réka ágya, fotelgörgő</t>
  </si>
  <si>
    <t>Gazdabolt Tahi</t>
  </si>
  <si>
    <t>KV Bobbyval</t>
  </si>
  <si>
    <t>OMV</t>
  </si>
  <si>
    <t>órás csavarhúzó készlet</t>
  </si>
  <si>
    <t>PELLET FŰTÉS</t>
  </si>
  <si>
    <t>zokni, harisnya</t>
  </si>
  <si>
    <t>folttisztító</t>
  </si>
  <si>
    <t>fodrász, kozmetika</t>
  </si>
  <si>
    <t>hajegyenesítő</t>
  </si>
  <si>
    <t>elem</t>
  </si>
  <si>
    <t>fánk</t>
  </si>
  <si>
    <t>Eger szállás</t>
  </si>
  <si>
    <t>matrica</t>
  </si>
  <si>
    <t>Nők lapja</t>
  </si>
  <si>
    <t>2011.12.22</t>
  </si>
  <si>
    <t>2012.1.30</t>
  </si>
  <si>
    <t>90kg pellet</t>
  </si>
  <si>
    <t>Naturpower Kft</t>
  </si>
  <si>
    <t>levél</t>
  </si>
  <si>
    <t>G3 szűrőpaplan</t>
  </si>
  <si>
    <t>meki kávé</t>
  </si>
  <si>
    <t>Speedshop</t>
  </si>
  <si>
    <t>headset, autóstartó</t>
  </si>
  <si>
    <t>kamarai regisztráció</t>
  </si>
  <si>
    <t>Dorka ajándék</t>
  </si>
  <si>
    <t>torta forma</t>
  </si>
  <si>
    <t>sópipa</t>
  </si>
  <si>
    <t>150kg pellet</t>
  </si>
  <si>
    <t>headset</t>
  </si>
  <si>
    <t>Frey</t>
  </si>
  <si>
    <t>Naturpower</t>
  </si>
  <si>
    <t>2012.01.31</t>
  </si>
  <si>
    <t>2012.02.10</t>
  </si>
  <si>
    <t>2012.02.04</t>
  </si>
  <si>
    <t>12db kukászsák</t>
  </si>
  <si>
    <t>Réka cipők</t>
  </si>
  <si>
    <t>babzsák</t>
  </si>
  <si>
    <t>PCX</t>
  </si>
  <si>
    <t>Micro sd kártya</t>
  </si>
  <si>
    <t>Parkolás</t>
  </si>
  <si>
    <t>Anyu ajándékok</t>
  </si>
  <si>
    <t>szülinapra cuccok</t>
  </si>
  <si>
    <t>Réka pulcsik</t>
  </si>
  <si>
    <t>Réka farsanghoz cuccok</t>
  </si>
  <si>
    <t>Méz</t>
  </si>
  <si>
    <t>Mcdonalds</t>
  </si>
  <si>
    <t>2012.02.29</t>
  </si>
  <si>
    <t>fényképező+táska</t>
  </si>
  <si>
    <t>virágföld, zipzár</t>
  </si>
  <si>
    <t>autómosás</t>
  </si>
  <si>
    <t>szemeteslapát</t>
  </si>
  <si>
    <t>Dóri kabát javítás</t>
  </si>
  <si>
    <t>tollak</t>
  </si>
  <si>
    <t>sd kártya</t>
  </si>
  <si>
    <t>kubu</t>
  </si>
  <si>
    <t>könyvek, ajándék</t>
  </si>
  <si>
    <t>Réka sapka</t>
  </si>
  <si>
    <t>Sanci ajándék</t>
  </si>
  <si>
    <t>színház</t>
  </si>
  <si>
    <t>Visegrád</t>
  </si>
  <si>
    <t>gyros</t>
  </si>
  <si>
    <t>Bigfoot</t>
  </si>
  <si>
    <t>Réka ebéd 2012/01</t>
  </si>
  <si>
    <t>kineziológus</t>
  </si>
  <si>
    <t>Nóri futócipő</t>
  </si>
  <si>
    <t>Réka ebéd 2012/02</t>
  </si>
  <si>
    <t>Amerikai ereszcsatorna</t>
  </si>
  <si>
    <t>Brico</t>
  </si>
  <si>
    <t>asztalláb</t>
  </si>
  <si>
    <t>Peugeot szerviz</t>
  </si>
  <si>
    <t>bringás nadrág nyereség</t>
  </si>
  <si>
    <t>bringás cipő nyereség</t>
  </si>
  <si>
    <t>polar ft7</t>
  </si>
  <si>
    <t>polar irda</t>
  </si>
  <si>
    <t>rabobank mezek</t>
  </si>
  <si>
    <t>Trek km óra nyereség</t>
  </si>
  <si>
    <t>húsvéti ajándékok</t>
  </si>
  <si>
    <t>fényképek Rékáról</t>
  </si>
  <si>
    <t>Réka ebédpénz 2012/04</t>
  </si>
  <si>
    <t>apróságok</t>
  </si>
  <si>
    <t>poharak, lecsepegő</t>
  </si>
  <si>
    <t>pályamatrica</t>
  </si>
  <si>
    <t>HB?</t>
  </si>
  <si>
    <t>papírbolt</t>
  </si>
  <si>
    <t>fólia teraszhoz</t>
  </si>
  <si>
    <t>sókamra</t>
  </si>
  <si>
    <t>sókamra bérlet</t>
  </si>
  <si>
    <t>kihangosító</t>
  </si>
  <si>
    <t>2db pillérzsalu</t>
  </si>
  <si>
    <t>pipaléc</t>
  </si>
  <si>
    <t>terasz munka</t>
  </si>
  <si>
    <t>rabobank mez nyereség</t>
  </si>
  <si>
    <t>ÓVÁR???</t>
  </si>
  <si>
    <t>locsolócsap</t>
  </si>
  <si>
    <t>kpe cső kábel stb</t>
  </si>
  <si>
    <t>kocsi</t>
  </si>
  <si>
    <t>gumijavítás</t>
  </si>
  <si>
    <t>terasz anyag 2.</t>
  </si>
  <si>
    <t>terasz anyag 1.</t>
  </si>
  <si>
    <t>kóla</t>
  </si>
  <si>
    <t>sisakok stb.</t>
  </si>
  <si>
    <t>wc ülőke</t>
  </si>
  <si>
    <t>sókuckó+1kg konyhasó</t>
  </si>
  <si>
    <t>Dóri papucs</t>
  </si>
  <si>
    <t>kpe cuccok</t>
  </si>
  <si>
    <t>gazdabolt</t>
  </si>
  <si>
    <t>sókuckó</t>
  </si>
  <si>
    <t>kerítés munka</t>
  </si>
  <si>
    <t>10zsák cement</t>
  </si>
  <si>
    <t>kerítés anyag</t>
  </si>
  <si>
    <t>eü doboz</t>
  </si>
  <si>
    <t>óvoda ajándék</t>
  </si>
  <si>
    <t>BADACSONY</t>
  </si>
  <si>
    <t>hinta anyag</t>
  </si>
  <si>
    <t>villanyóra átszerelés</t>
  </si>
  <si>
    <t>hinta csavarok</t>
  </si>
  <si>
    <t>LG bluray player</t>
  </si>
  <si>
    <t>hinta cuccok</t>
  </si>
  <si>
    <t>Gulliver</t>
  </si>
  <si>
    <t>villanyszerelés cuccok</t>
  </si>
  <si>
    <t>Bálint</t>
  </si>
  <si>
    <t>JOGSI</t>
  </si>
  <si>
    <t>kalorifer</t>
  </si>
  <si>
    <t>DT ablaknyitással:</t>
  </si>
  <si>
    <t>zsalukő</t>
  </si>
  <si>
    <t>murva</t>
  </si>
  <si>
    <t>8as</t>
  </si>
  <si>
    <t>10es</t>
  </si>
  <si>
    <t>ár/fm</t>
  </si>
  <si>
    <t>alaphossz</t>
  </si>
  <si>
    <t>kengyelszám</t>
  </si>
  <si>
    <t>kengyelhossz</t>
  </si>
  <si>
    <t>8as vas fm</t>
  </si>
  <si>
    <t>10es vas</t>
  </si>
  <si>
    <t>alapba</t>
  </si>
  <si>
    <t>zsalukőbe</t>
  </si>
  <si>
    <t>összefolyó</t>
  </si>
  <si>
    <t>20x20 oszlopelem</t>
  </si>
  <si>
    <t>kell</t>
  </si>
  <si>
    <t>8as függ</t>
  </si>
  <si>
    <t>zsalukő db</t>
  </si>
  <si>
    <t>8as vas zsalukőbe</t>
  </si>
  <si>
    <t>beton zsalukőbe</t>
  </si>
  <si>
    <t>beton alapba</t>
  </si>
  <si>
    <t>0,15m3/m2</t>
  </si>
  <si>
    <t>12m2</t>
  </si>
  <si>
    <t>1,25m3/m3</t>
  </si>
  <si>
    <t>300kg/m3</t>
  </si>
  <si>
    <t>8as vízszintesen</t>
  </si>
  <si>
    <t>kerítés</t>
  </si>
  <si>
    <t>vízóra</t>
  </si>
  <si>
    <t>kapu vas</t>
  </si>
  <si>
    <t>k szegély</t>
  </si>
  <si>
    <t>cement+zsalukő</t>
  </si>
  <si>
    <t>ágyazó</t>
  </si>
  <si>
    <t>piros szegély</t>
  </si>
  <si>
    <t>támfal bontás, rakás</t>
  </si>
  <si>
    <t>mag</t>
  </si>
  <si>
    <t>oszlop</t>
  </si>
  <si>
    <t>ár/m3</t>
  </si>
  <si>
    <t>szarufa</t>
  </si>
  <si>
    <t>szelemen</t>
  </si>
  <si>
    <t>szegély+murva</t>
  </si>
  <si>
    <t>menny</t>
  </si>
  <si>
    <t>deszka 2,5x10</t>
  </si>
  <si>
    <t>beton alap 30db</t>
  </si>
  <si>
    <t>tartóoszlop fogópárról</t>
  </si>
  <si>
    <t>ferde támasz</t>
  </si>
  <si>
    <t>oszloptartó vas</t>
  </si>
  <si>
    <t>fedlap 2,5x12,5</t>
  </si>
  <si>
    <t>fedlap 2,5x15</t>
  </si>
  <si>
    <t>venni kell</t>
  </si>
  <si>
    <t>8as van</t>
  </si>
  <si>
    <t>8ast venni</t>
  </si>
  <si>
    <t>10est venni</t>
  </si>
  <si>
    <t>zsalukő fm</t>
  </si>
  <si>
    <t>zsalukő m2</t>
  </si>
  <si>
    <t>gyalulás 25e/m3</t>
  </si>
  <si>
    <t>gyalulás</t>
  </si>
  <si>
    <t>vasoszlop 50x50x2</t>
  </si>
  <si>
    <t>40zsák</t>
  </si>
  <si>
    <t>25szál</t>
  </si>
  <si>
    <t>10szál</t>
  </si>
  <si>
    <t>136db</t>
  </si>
  <si>
    <t>5m3</t>
  </si>
  <si>
    <t>2m3</t>
  </si>
  <si>
    <t>alsó deszka 2,5x15</t>
  </si>
  <si>
    <t>hinta palló 5x15</t>
  </si>
  <si>
    <t>polkarbonát lemez 10mm 300x210cm</t>
  </si>
  <si>
    <t>polkarbonát lemez 10mm 400x210cm</t>
  </si>
  <si>
    <t>alu leszorító profil 300cm 50mm</t>
  </si>
  <si>
    <t>EPDM tömítő felső 300cm</t>
  </si>
  <si>
    <t>alu leszorító profil 400cm 50mm</t>
  </si>
  <si>
    <t>alsó alátétszalag 100cm</t>
  </si>
  <si>
    <t>facsavar gumitömítéssel 6x60mm</t>
  </si>
  <si>
    <t>alu U profil a alul-felül</t>
  </si>
  <si>
    <t>alu U profil oldalt</t>
  </si>
  <si>
    <t>alu takaróprofil</t>
  </si>
  <si>
    <t>7fm</t>
  </si>
  <si>
    <t>5fm</t>
  </si>
  <si>
    <t>4fm</t>
  </si>
  <si>
    <t>alsó szelemen</t>
  </si>
  <si>
    <t>felső szelemen</t>
  </si>
  <si>
    <t>tartópalló fogópárról</t>
  </si>
  <si>
    <t>3fm</t>
  </si>
  <si>
    <t>alu leszorító profil 300cm 50mm 3db</t>
  </si>
  <si>
    <t>alu leszorító profil 400cm 50mm 2db</t>
  </si>
  <si>
    <t>alu takaróprofil 300cm 3db</t>
  </si>
  <si>
    <t>alu takaróprofil 400cm 2db</t>
  </si>
  <si>
    <t>EPDM tömítő felső 300cm 7db</t>
  </si>
  <si>
    <t>EPDM tömítő felső 400cm 1db</t>
  </si>
  <si>
    <t>2014</t>
  </si>
  <si>
    <t>nov</t>
  </si>
  <si>
    <t>dec</t>
  </si>
  <si>
    <t>2015</t>
  </si>
  <si>
    <t>január</t>
  </si>
  <si>
    <t>február</t>
  </si>
  <si>
    <t>március</t>
  </si>
  <si>
    <t>46zsák van</t>
  </si>
  <si>
    <t>április</t>
  </si>
  <si>
    <t>szerkezet</t>
  </si>
  <si>
    <t>polcok</t>
  </si>
  <si>
    <t>ajtók</t>
  </si>
  <si>
    <t>fiók</t>
  </si>
  <si>
    <t>előlap</t>
  </si>
  <si>
    <t>alja</t>
  </si>
  <si>
    <t>oldala</t>
  </si>
  <si>
    <t>hátulja</t>
  </si>
  <si>
    <t>350mm</t>
  </si>
  <si>
    <t>sínpár</t>
  </si>
  <si>
    <t>kivetőpánt</t>
  </si>
  <si>
    <t>10.12</t>
  </si>
  <si>
    <t>10.17</t>
  </si>
  <si>
    <t>10.15</t>
  </si>
  <si>
    <t>2015.10.10</t>
  </si>
  <si>
    <t>10.25</t>
  </si>
  <si>
    <t>10.27</t>
  </si>
  <si>
    <t>11.01</t>
  </si>
  <si>
    <t>11.07</t>
  </si>
  <si>
    <t>11.13</t>
  </si>
  <si>
    <t>11.17</t>
  </si>
  <si>
    <t>11.23</t>
  </si>
  <si>
    <t>11.25</t>
  </si>
  <si>
    <t>11.27</t>
  </si>
  <si>
    <t>11.29</t>
  </si>
  <si>
    <t>12.03</t>
  </si>
  <si>
    <t>12.07</t>
  </si>
  <si>
    <t>12.10</t>
  </si>
  <si>
    <t>12.12</t>
  </si>
  <si>
    <t>12.14</t>
  </si>
  <si>
    <t>12.17</t>
  </si>
  <si>
    <t>12.19</t>
  </si>
  <si>
    <t>12.20</t>
  </si>
  <si>
    <t>12.22</t>
  </si>
  <si>
    <t>12.24</t>
  </si>
  <si>
    <t>12.26</t>
  </si>
  <si>
    <t>12.28</t>
  </si>
  <si>
    <t>01.01</t>
  </si>
  <si>
    <t>01.02</t>
  </si>
  <si>
    <t>01.04</t>
  </si>
  <si>
    <t>01.05</t>
  </si>
  <si>
    <t>01.06</t>
  </si>
  <si>
    <t>01.09</t>
  </si>
  <si>
    <t>van még:</t>
  </si>
  <si>
    <t>01.11</t>
  </si>
  <si>
    <t>01.13</t>
  </si>
  <si>
    <t>01.15</t>
  </si>
  <si>
    <t>01.17</t>
  </si>
  <si>
    <t>01.19</t>
  </si>
  <si>
    <t>01.21</t>
  </si>
  <si>
    <t>01.25</t>
  </si>
  <si>
    <t>01.24</t>
  </si>
  <si>
    <t>01.27</t>
  </si>
  <si>
    <t>01.29</t>
  </si>
  <si>
    <t>02.02</t>
  </si>
  <si>
    <t>02.05</t>
  </si>
  <si>
    <t>02.06</t>
  </si>
  <si>
    <t>02.09</t>
  </si>
  <si>
    <t>02.11</t>
  </si>
  <si>
    <t>02.13</t>
  </si>
  <si>
    <t>02.15</t>
  </si>
  <si>
    <t>02.18</t>
  </si>
  <si>
    <t>görgőszett</t>
  </si>
  <si>
    <t>http://www.butor-vasalat.hu</t>
  </si>
  <si>
    <t>alsó sín</t>
  </si>
  <si>
    <t>felső sín</t>
  </si>
  <si>
    <t>fogó profil sevroll alfa</t>
  </si>
  <si>
    <t>sarok profil ajtókra alul-felül</t>
  </si>
  <si>
    <t>sevroll hosszú befűz kefe. Fogó profil hátoldalára</t>
  </si>
  <si>
    <t>sevroll rövid befűz kefe. Fogó profil oldalára</t>
  </si>
  <si>
    <t>sevroll elegant pozic stopper</t>
  </si>
  <si>
    <t>sevromatic fékes behúzó JOBB</t>
  </si>
  <si>
    <t>sevromatic fékes behúzó BAL</t>
  </si>
  <si>
    <t>02.21</t>
  </si>
  <si>
    <t>02.25</t>
  </si>
  <si>
    <t>02.28</t>
  </si>
  <si>
    <t>3ajtós</t>
  </si>
  <si>
    <t>4ajtós</t>
  </si>
  <si>
    <t>fogó profil sevroll alfa ezüst</t>
  </si>
  <si>
    <t>felső sín sevroll alfa ezüst</t>
  </si>
  <si>
    <t>alsó sín calipso ezüst</t>
  </si>
  <si>
    <t>fedlap</t>
  </si>
  <si>
    <t>fehér</t>
  </si>
  <si>
    <t>barna</t>
  </si>
  <si>
    <t>sevroll H osztóprofil</t>
  </si>
  <si>
    <t>03.11</t>
  </si>
  <si>
    <t>03.08</t>
  </si>
  <si>
    <t>03.02</t>
  </si>
  <si>
    <t>03.05</t>
  </si>
  <si>
    <t>03.15</t>
  </si>
  <si>
    <t>03.21</t>
  </si>
  <si>
    <t>03.29</t>
  </si>
  <si>
    <t>04.24</t>
  </si>
  <si>
    <t>04.27</t>
  </si>
  <si>
    <t>6,2m2</t>
  </si>
  <si>
    <t>szál</t>
  </si>
  <si>
    <t>2016.10.09</t>
  </si>
  <si>
    <t>2016.10.16</t>
  </si>
  <si>
    <t>2016.10.13</t>
  </si>
  <si>
    <t>2016.10.24</t>
  </si>
  <si>
    <t>2016.10.28</t>
  </si>
  <si>
    <t>2016.11.01</t>
  </si>
  <si>
    <t>2016.11.04</t>
  </si>
  <si>
    <t>2016.11.07</t>
  </si>
  <si>
    <t>2016.11.10</t>
  </si>
  <si>
    <t>2016.11.13</t>
  </si>
  <si>
    <t>2016.11.15</t>
  </si>
  <si>
    <t>2016.11.19</t>
  </si>
  <si>
    <t>2016.11.22</t>
  </si>
  <si>
    <t>2016.11.25</t>
  </si>
  <si>
    <t>2016.11.27</t>
  </si>
  <si>
    <t>2016.11.29</t>
  </si>
  <si>
    <t>2016.12.01</t>
  </si>
  <si>
    <t>2016.12.03</t>
  </si>
  <si>
    <t>2016.12.05</t>
  </si>
  <si>
    <t>2016.12.07</t>
  </si>
  <si>
    <t>2016.12.09</t>
  </si>
  <si>
    <t>2016.12.11</t>
  </si>
  <si>
    <t>2016.12.13</t>
  </si>
  <si>
    <t>2016.12.15</t>
  </si>
  <si>
    <t>2016.12.17</t>
  </si>
  <si>
    <t>2015-2016 fogyott:</t>
  </si>
  <si>
    <t>2015-2016 fűtési ktsg:</t>
  </si>
  <si>
    <t>2016.12.21</t>
  </si>
  <si>
    <t>2016.12.24</t>
  </si>
  <si>
    <t>2016.12.28</t>
  </si>
  <si>
    <t>2016.12.30</t>
  </si>
  <si>
    <t>2017.1.1</t>
  </si>
  <si>
    <t>2016-2017 fogyott:</t>
  </si>
  <si>
    <t>2016-2017 fűtési ktsg:</t>
  </si>
  <si>
    <t>2017.1.3</t>
  </si>
  <si>
    <t>2016-2017</t>
  </si>
  <si>
    <t>2015-2016</t>
  </si>
  <si>
    <t>2017.1.5</t>
  </si>
  <si>
    <t>2017.1.7</t>
  </si>
  <si>
    <t>2017.1.9</t>
  </si>
  <si>
    <t>2017.1.11</t>
  </si>
  <si>
    <t>2017.1.13</t>
  </si>
  <si>
    <t>2017.1.14</t>
  </si>
  <si>
    <t>2017.1.16</t>
  </si>
  <si>
    <t>2017.1.18</t>
  </si>
  <si>
    <t>2017.1.20</t>
  </si>
  <si>
    <t>2017.1.22</t>
  </si>
  <si>
    <t>2017.1.24</t>
  </si>
  <si>
    <t>2017.1.26</t>
  </si>
  <si>
    <t>2017.1.30</t>
  </si>
  <si>
    <t>Felfűtési igény/nap:</t>
  </si>
  <si>
    <t>2015 aug ennyi van:</t>
  </si>
  <si>
    <t>2017.1.31</t>
  </si>
  <si>
    <t>2017.2.2</t>
  </si>
  <si>
    <t>2017.2.4</t>
  </si>
  <si>
    <t>2017.2.6</t>
  </si>
  <si>
    <t>2017.2.8</t>
  </si>
  <si>
    <t>2017.2.10</t>
  </si>
  <si>
    <t>2017.2.12</t>
  </si>
  <si>
    <t>2017.2.14</t>
  </si>
  <si>
    <t>2017.2.16</t>
  </si>
  <si>
    <t>2017.2.18</t>
  </si>
  <si>
    <t>2017.2.20</t>
  </si>
  <si>
    <t>2017.2.23</t>
  </si>
  <si>
    <t>2017.2.25</t>
  </si>
  <si>
    <t>2017.3.01</t>
  </si>
  <si>
    <t>2017.3.05</t>
  </si>
  <si>
    <t>2017.3.08</t>
  </si>
  <si>
    <t>2017.3.12</t>
  </si>
  <si>
    <t>VILLANYFŰTÉS</t>
  </si>
  <si>
    <t>Fűtőszál telj.:</t>
  </si>
  <si>
    <t>Szükséges üzemidő</t>
  </si>
  <si>
    <t>2017.3.16</t>
  </si>
  <si>
    <t>2017.3.28</t>
  </si>
  <si>
    <t>2017.4.19</t>
  </si>
  <si>
    <t>2017.4.28</t>
  </si>
  <si>
    <t>http://www.energo-investment.hu/Akcios-termekek</t>
  </si>
  <si>
    <t>http://irsasolar.addel.hu/-napelemek/651182-sharp-nd-rb-275-w-polikristalyos-napelem-modul</t>
  </si>
  <si>
    <t>Terasz</t>
  </si>
  <si>
    <t>LED</t>
  </si>
  <si>
    <t>DVD+DIGI</t>
  </si>
  <si>
    <t>dátum</t>
  </si>
  <si>
    <t>idő</t>
  </si>
  <si>
    <t>Naplopo_Votex Oltonyszakuzlet</t>
  </si>
  <si>
    <t>Saját rendszer (Sharp ND-RB 275)</t>
  </si>
  <si>
    <t>16-20 óráig ennyit termel</t>
  </si>
  <si>
    <t>0-24 óráig ennyit termel</t>
  </si>
  <si>
    <t>Plusz korrekció árnyékolás miatt</t>
  </si>
  <si>
    <t>Veszteség 16-20 óráig ha árnyékolt</t>
  </si>
  <si>
    <t>Éves átlagos veszteség árnyékolás miatt</t>
  </si>
  <si>
    <t>Éves termelés</t>
  </si>
  <si>
    <t>Elméleti éves termelés árnyékolási veszteséggel</t>
  </si>
  <si>
    <t>Termelés/év</t>
  </si>
  <si>
    <t>LG 25UM ultrawide</t>
  </si>
  <si>
    <t>LG 29UM ultrawide</t>
  </si>
  <si>
    <t>12-16 óráig ennyit termel</t>
  </si>
  <si>
    <t>veszteség</t>
  </si>
  <si>
    <t>termelés</t>
  </si>
  <si>
    <t>termelés veszteséggel</t>
  </si>
  <si>
    <t>Elméleti termelés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</si>
  <si>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</si>
  <si>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</si>
  <si>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</si>
  <si>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</si>
  <si>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</si>
  <si>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</si>
  <si>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</si>
  <si>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</si>
  <si>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Amerisolar AS-6P30 270W</t>
  </si>
  <si>
    <t>SHARP ND-RB 275 W</t>
  </si>
  <si>
    <t>fuga, sziló</t>
  </si>
  <si>
    <t>Árnyékolás veszteségével csökkentett éves termelés</t>
  </si>
  <si>
    <t>Valós termelési adatok</t>
  </si>
  <si>
    <t>Valós termelés</t>
  </si>
  <si>
    <t>Éves termelés korrekció után</t>
  </si>
  <si>
    <t>Korrekció (elég sok ez az éves termelés)</t>
  </si>
  <si>
    <t>Elméleti éves termelés veszteségek nélkül</t>
  </si>
  <si>
    <t>https://monitoringpublic.solaredge.com/solaredge-web/p/site/public?name=Pecs_Bagoly&amp;locale=en_US#/dashboard</t>
  </si>
  <si>
    <t>https://monitoringpublic.solaredge.com/solaredge-web/p/site/public?name=NVSolar&amp;locale=en_US#/dashboard</t>
  </si>
  <si>
    <t>termosztát</t>
  </si>
  <si>
    <t>előremenő</t>
  </si>
  <si>
    <t>keringető</t>
  </si>
  <si>
    <t>C2</t>
  </si>
  <si>
    <t>PID/2</t>
  </si>
  <si>
    <t>termosztát/0</t>
  </si>
  <si>
    <t>P1</t>
  </si>
  <si>
    <t>P2</t>
  </si>
  <si>
    <t>Solaredge SE7K 1</t>
  </si>
  <si>
    <t>Solaredge P300 optimalizáló 25</t>
  </si>
  <si>
    <t>Trina Solar DD05A.08 280W 25</t>
  </si>
  <si>
    <t>DC túlfeszvédelmi doboz 1 munkapont 1</t>
  </si>
  <si>
    <t>AC túlfeszvédelmi doboz 3 fázis 1</t>
  </si>
  <si>
    <t>Solár kábel 4mm2 /fm 40</t>
  </si>
  <si>
    <t>Napelemszerelés 25</t>
  </si>
  <si>
    <t>Áramszolgáltató felé tervezés 1</t>
  </si>
  <si>
    <t>Fronius Symo 7.0‐3M Light 1</t>
  </si>
  <si>
    <t>Jinko Maxim 290W 25</t>
  </si>
  <si>
    <t>DC túlfeszvédelmi doboz 2 munkapont 1</t>
  </si>
  <si>
    <t>https://monitoringpublic.solaredge.com/solaredge-web/p/site/public?name=Biro%20Zsolt&amp;locale=en_US#/dashboard</t>
  </si>
  <si>
    <t xml:space="preserve">SolidRail Light 37 sín 3,15m </t>
  </si>
  <si>
    <t xml:space="preserve">CrossRail 36 sín 3,15m </t>
  </si>
  <si>
    <t xml:space="preserve">K2 Systems 1000001 tetőkampó </t>
  </si>
  <si>
    <t xml:space="preserve">K2 Systems 1000041 T‐Bolt csavar M10x30mm </t>
  </si>
  <si>
    <t xml:space="preserve">K2 Systems 1000042 Martalátétes anya M10 </t>
  </si>
  <si>
    <t xml:space="preserve">K2 Systems 1002286 Climber 36/48 szett </t>
  </si>
  <si>
    <t xml:space="preserve">K2 Systems 1004107 síntoldó Light/UltraLight sínhez </t>
  </si>
  <si>
    <t xml:space="preserve">K2 Systems 1002389 síntoldó CrossRailhez </t>
  </si>
  <si>
    <t>Wkret‐met faszerkezetépítő csavar 8x120 tetőkamp 1</t>
  </si>
  <si>
    <t>K2 Systems 1004197 Közbenső leszorító szett 39‐44m</t>
  </si>
  <si>
    <t xml:space="preserve">K2 Systems 1005170 Végleszorító szett 39‐41mm </t>
  </si>
  <si>
    <t>jan</t>
  </si>
  <si>
    <t>feb</t>
  </si>
  <si>
    <t>már</t>
  </si>
  <si>
    <t>kapcsolók, dugók</t>
  </si>
  <si>
    <t>Átlag termelés</t>
  </si>
  <si>
    <t>Mosógép (mosásonként)</t>
  </si>
  <si>
    <t>kWh</t>
  </si>
  <si>
    <t>napi fogyasztás</t>
  </si>
  <si>
    <t>hőigény</t>
  </si>
  <si>
    <t>nappali óraállás</t>
  </si>
  <si>
    <t>év</t>
  </si>
  <si>
    <t>kamat</t>
  </si>
  <si>
    <t>fogyasztás 24H</t>
  </si>
  <si>
    <t>havi fogy. az előző hónapból számolva</t>
  </si>
  <si>
    <t>LG 34UM ultrawide</t>
  </si>
  <si>
    <t>havi max</t>
  </si>
  <si>
    <t>havi min</t>
  </si>
  <si>
    <t>napi átlag</t>
  </si>
  <si>
    <t>LG 23 col</t>
  </si>
  <si>
    <t>FÖLDPÉNZ</t>
  </si>
  <si>
    <t>FUNDAMENTA</t>
  </si>
  <si>
    <t>napelem</t>
  </si>
  <si>
    <t>lekötve</t>
  </si>
  <si>
    <t>hitel költség</t>
  </si>
  <si>
    <t>2017-18 idény fogy.</t>
  </si>
  <si>
    <t>https://monitoringpublic.solaredge.com/solaredge-web/p/site/public?name=Naplopo_Votex%20Oltonyszakuzlet&amp;locale=en_US#/dashboard</t>
  </si>
  <si>
    <t>Veszteség 12-16 óráig ha árnyékolt</t>
  </si>
  <si>
    <t>ZUGL</t>
  </si>
  <si>
    <t>szomszéd kért áramot kb. 12kWh</t>
  </si>
  <si>
    <t>4581608-701</t>
  </si>
  <si>
    <t>4581700-801</t>
  </si>
  <si>
    <t>4581597-801</t>
  </si>
  <si>
    <t>4581689-301</t>
  </si>
  <si>
    <t>Csabi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</si>
</sst>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3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#,##0\ &quot;Ft&quot;"/>
    <numFmt numFmtId="165" formatCode="#0&quot; w&quot;"/>
    <numFmt numFmtId="166" formatCode="#0&quot; kwh&quot;"/>
    <numFmt numFmtId="167" formatCode="#0&quot; m3&quot;"/>
    <numFmt numFmtId="168" formatCode="#0&quot; m2&quot;"/>
    <numFmt numFmtId="169" formatCode="#0&quot; h&quot;"/>
    <numFmt numFmtId="170" formatCode="#0&quot; ºC&quot;"/>
    <numFmt numFmtId="171" formatCode="#0&quot; Ft/m3&quot;"/>
    <numFmt numFmtId="172" formatCode="#0&quot; kwh/m2/év&quot;"/>
    <numFmt numFmtId="173" formatCode="#0&quot; kwh/év&quot;"/>
    <numFmt numFmtId="174" formatCode="#0,000&quot; kwh/év&quot;"/>
    <numFmt numFmtId="175" formatCode="#0,000&quot; kwh&quot;"/>
    <numFmt numFmtId="176" formatCode="#0.00&quot; m2&quot;"/>
    <numFmt numFmtId="177" formatCode="#,#00&quot; Ft/év&quot;"/>
    <numFmt numFmtId="178" formatCode="#0&quot; Ft/kg&quot;"/>
    <numFmt numFmtId="179" formatCode="#0.00&quot; kwh/m3&quot;"/>
    <numFmt numFmtId="180" formatCode="#0&quot; kg/év&quot;"/>
    <numFmt numFmtId="181" formatCode="#0&quot; m3/év&quot;"/>
    <numFmt numFmtId="182" formatCode="#0.00&quot; kwh/kg&quot;"/>
    <numFmt numFmtId="183" formatCode="#0&quot; L&quot;"/>
    <numFmt numFmtId="184" formatCode="#0&quot; Ft/kwh&quot;"/>
    <numFmt numFmtId="185" formatCode="#0.00&quot; w/m2&quot;"/>
    <numFmt numFmtId="186" formatCode="#,000&quot; kwh/év&quot;"/>
    <numFmt numFmtId="187" formatCode="#0.00&quot; Ft/hó&quot;"/>
    <numFmt numFmtId="188" formatCode="#0.00&quot; kwh/hó&quot;"/>
    <numFmt numFmtId="189" formatCode="#0&quot; K&quot;"/>
    <numFmt numFmtId="190" formatCode="#0.00&quot; w/m3K&quot;"/>
    <numFmt numFmtId="191" formatCode="#0.00&quot; w/K&quot;"/>
    <numFmt numFmtId="192" formatCode="#0.00&quot; m&quot;"/>
    <numFmt numFmtId="193" formatCode="0.0%"/>
    <numFmt numFmtId="194" formatCode="#,000&quot; Ft/m3&quot;"/>
    <numFmt numFmtId="195" formatCode="#00&quot; m3&quot;"/>
    <numFmt numFmtId="196" formatCode="#,000&quot; Ft&quot;"/>
    <numFmt numFmtId="197" formatCode="#0&quot; nap&quot;"/>
    <numFmt numFmtId="198" formatCode="#.00&quot; m3&quot;"/>
    <numFmt numFmtId="199" formatCode="#.00&quot; m2&quot;"/>
    <numFmt numFmtId="200" formatCode="#,##0.00&quot; m/s&quot;"/>
    <numFmt numFmtId="201" formatCode="#,##0.00&quot; m3/h&quot;"/>
    <numFmt numFmtId="202" formatCode="0.0"/>
    <numFmt numFmtId="203" formatCode="#&quot; m2&quot;"/>
    <numFmt numFmtId="204" formatCode="#,#00&quot; Ft/m2&quot;"/>
    <numFmt numFmtId="205" formatCode="#,##0.00\ &quot;Ft&quot;"/>
    <numFmt numFmtId="206" formatCode="#0.00&quot; kg/m2&quot;"/>
    <numFmt numFmtId="207" formatCode="#0.00&quot; kg&quot;"/>
    <numFmt numFmtId="208" formatCode="#0.00&quot; zsák&quot;"/>
    <numFmt numFmtId="209" formatCode="#0.00&quot; Ft/m2 anyag&quot;"/>
    <numFmt numFmtId="210" formatCode="_-* #,##0.00\ [$Ft-40E]_-;\-* #,##0.00\ [$Ft-40E]_-;_-* &quot;-&quot;??\ [$Ft-40E]_-;_-@_-"/>
    <numFmt numFmtId="211" formatCode="0.000"/>
    <numFmt numFmtId="212" formatCode="#0.00&quot; fm&quot;"/>
    <numFmt numFmtId="213" formatCode="#,000.00&quot; Ft&quot;"/>
    <numFmt numFmtId="214" formatCode="#,000.00&quot; m2&quot;"/>
    <numFmt numFmtId="215" formatCode="#,000.00&quot; fm&quot;"/>
    <numFmt numFmtId="216" formatCode="#,000.00&quot; zsák&quot;"/>
    <numFmt numFmtId="217" formatCode="#,000.00&quot; db&quot;"/>
    <numFmt numFmtId="218" formatCode="#,000.00&quot; cs&quot;"/>
    <numFmt numFmtId="219" formatCode="#,##0.00&quot; óra/nap&quot;"/>
    <numFmt numFmtId="220" formatCode="#,##0.0&quot; nap/hónap&quot;"/>
    <numFmt numFmtId="221" formatCode="#,##0.0&quot; W&quot;"/>
    <numFmt numFmtId="222" formatCode="#,##0.0&quot; óra/hónap&quot;"/>
    <numFmt numFmtId="223" formatCode="#,##0.0&quot; Ft/kWh&quot;"/>
    <numFmt numFmtId="224" formatCode="#,##0.0\ &quot;Ft&quot;"/>
    <numFmt numFmtId="225" formatCode="#,##0.0&quot; kW&quot;"/>
    <numFmt numFmtId="226" formatCode="#0.00&quot; kwh&quot;"/>
    <numFmt numFmtId="227" formatCode="#0.00&quot; Kg&quot;"/>
    <numFmt numFmtId="228" formatCode="#,#00&quot; Ft/hó&quot;"/>
    <numFmt numFmtId="229" formatCode="#0.0&quot; m3/hó&quot;"/>
    <numFmt numFmtId="230" formatCode="#0.00&quot; kg/év&quot;"/>
    <numFmt numFmtId="231" formatCode="#,##0&quot; kWh/hónap&quot;"/>
    <numFmt numFmtId="232" formatCode="#,##0.00&quot; kWh&quot;"/>
    <numFmt numFmtId="233" formatCode="#,##0.0&quot; kWh/év&quot;"/>
    <numFmt numFmtId="234" formatCode="#0.00&quot; ºC&quot;"/>
    <numFmt numFmtId="235" formatCode="#0&quot; W&quot;"/>
    <numFmt numFmtId="236" formatCode="#0&quot; kg&quot;"/>
    <numFmt numFmtId="237" formatCode="#0&quot; zsák&quot;"/>
    <numFmt numFmtId="238" formatCode="_-* #,##0.00\ [$HUF-40E]_-;\-* #,##0.00\ [$HUF-40E]_-;_-* &quot;-&quot;??\ [$HUF-40E]_-;_-@_-"/>
    <numFmt numFmtId="239" formatCode="#0.00&quot; kw&quot;"/>
    <numFmt numFmtId="240" formatCode="#0.00&quot; óra&quot;"/>
    <numFmt numFmtId="241" formatCode="h:mm;@"/>
    <numFmt numFmtId="242" formatCode="#0&quot; db&quot;"/>
    <numFmt numFmtId="243" formatCode="#0.000&quot; kW&quot;"/>
    <numFmt numFmtId="244" formatCode="h:mm:ss;@"/>
    <numFmt numFmtId="245" formatCode="#0.00&quot; kWh&quot;"/>
    <numFmt numFmtId="246" formatCode="_-* #,##0\ [$Ft-40E]_-;\-* #,##0\ [$Ft-40E]_-;_-* &quot;-&quot;??\ [$Ft-40E]_-;_-@_-"/>
    <numFmt numFmtId="247" formatCode="#0.00&quot; Ft/kWh&quot;"/>
    <numFmt numFmtId="248" formatCode="#0&quot; / h&quot;"/>
    <numFmt numFmtId="249" formatCode="#0&quot; kWh&quot;"/>
    <numFmt numFmtId="250" formatCode="#0&quot; kWh/kW&quot;"/>
    <numFmt numFmtId="251" formatCode="#0&quot; kWh/év&quot;"/>
    <numFmt numFmtId="252" formatCode="_-* #,##0\ &quot;Ft&quot;_-;\-* #,##0\ &quot;Ft&quot;_-;_-* &quot;-&quot;??\ &quot;Ft&quot;_-;_-@_-"/>
    <numFmt numFmtId="253" formatCode="#0,000&quot; kWh&quot;"/>
    <numFmt numFmtId="254" formatCode="[Green]General;[Red]General;[Yellow]General"/>
  </numFmts>
  <fonts count="62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color indexed="9"/>
      <name val="Arial CE"/>
      <family val="2"/>
      <charset val="238"/>
    </font>
    <font>
      <b/>
      <sz val="12"/>
      <color indexed="10"/>
      <name val="Arial CE"/>
      <family val="2"/>
      <charset val="238"/>
    </font>
    <font>
      <b/>
      <sz val="10"/>
      <color indexed="10"/>
      <name val="Arial CE"/>
      <family val="2"/>
      <charset val="238"/>
    </font>
    <font>
      <sz val="10"/>
      <color indexed="10"/>
      <name val="Arial CE"/>
      <family val="2"/>
      <charset val="238"/>
    </font>
    <font>
      <sz val="10"/>
      <color indexed="9"/>
      <name val="Arial CE"/>
      <family val="2"/>
      <charset val="238"/>
    </font>
    <font>
      <b/>
      <sz val="11"/>
      <name val="Arial CE"/>
      <family val="2"/>
      <charset val="238"/>
    </font>
    <font>
      <b/>
      <sz val="10"/>
      <color indexed="8"/>
      <name val="Arial CE"/>
      <family val="2"/>
      <charset val="238"/>
    </font>
    <font>
      <b/>
      <i/>
      <sz val="10"/>
      <color indexed="8"/>
      <name val="Arial CE"/>
      <family val="2"/>
      <charset val="238"/>
    </font>
    <font>
      <b/>
      <i/>
      <sz val="10"/>
      <color indexed="16"/>
      <name val="Arial CE"/>
      <family val="2"/>
      <charset val="238"/>
    </font>
    <font>
      <b/>
      <i/>
      <sz val="10"/>
      <color indexed="10"/>
      <name val="Arial CE"/>
      <family val="2"/>
      <charset val="238"/>
    </font>
    <font>
      <b/>
      <sz val="8"/>
      <name val="Arial CE"/>
      <family val="2"/>
      <charset val="238"/>
    </font>
    <font>
      <sz val="8"/>
      <color indexed="81"/>
      <name val="Tahoma"/>
      <family val="2"/>
      <charset val="238"/>
    </font>
    <font>
      <u/>
      <sz val="10"/>
      <color indexed="12"/>
      <name val="Arial CE"/>
      <charset val="238"/>
    </font>
    <font>
      <sz val="13.5"/>
      <name val="Times New Roman"/>
      <family val="1"/>
    </font>
    <font>
      <sz val="14"/>
      <name val="Times New Roman"/>
      <family val="1"/>
    </font>
    <font>
      <b/>
      <i/>
      <sz val="10"/>
      <name val="Arial CE"/>
      <family val="2"/>
      <charset val="238"/>
    </font>
    <font>
      <b/>
      <sz val="8"/>
      <color indexed="81"/>
      <name val="Tahoma"/>
      <family val="2"/>
      <charset val="238"/>
    </font>
    <font>
      <sz val="8"/>
      <name val="Arial CE"/>
      <family val="2"/>
      <charset val="238"/>
    </font>
    <font>
      <b/>
      <sz val="8"/>
      <color indexed="10"/>
      <name val="Arial CE"/>
      <family val="2"/>
      <charset val="238"/>
    </font>
    <font>
      <b/>
      <i/>
      <sz val="8"/>
      <name val="Arial CE"/>
      <family val="2"/>
      <charset val="238"/>
    </font>
    <font>
      <sz val="8"/>
      <color indexed="10"/>
      <name val="Arial CE"/>
      <family val="2"/>
      <charset val="238"/>
    </font>
    <font>
      <b/>
      <sz val="8"/>
      <color indexed="12"/>
      <name val="Arial CE"/>
      <family val="2"/>
      <charset val="238"/>
    </font>
    <font>
      <sz val="8"/>
      <name val="Arial CE"/>
      <charset val="238"/>
    </font>
    <font>
      <b/>
      <sz val="8"/>
      <color indexed="9"/>
      <name val="Arial CE"/>
      <family val="2"/>
      <charset val="238"/>
    </font>
    <font>
      <sz val="8"/>
      <name val="Verdana"/>
      <family val="2"/>
    </font>
    <font>
      <b/>
      <sz val="8"/>
      <color indexed="48"/>
      <name val="Arial CE"/>
      <family val="2"/>
      <charset val="238"/>
    </font>
    <font>
      <sz val="10"/>
      <color indexed="60"/>
      <name val="Arial"/>
      <family val="2"/>
    </font>
    <font>
      <sz val="8"/>
      <color indexed="9"/>
      <name val="Arial CE"/>
      <family val="2"/>
      <charset val="238"/>
    </font>
    <font>
      <sz val="8"/>
      <color indexed="63"/>
      <name val="Tahoma"/>
      <family val="2"/>
    </font>
    <font>
      <sz val="12"/>
      <name val="Arial CE"/>
      <family val="2"/>
      <charset val="238"/>
    </font>
    <font>
      <i/>
      <sz val="10"/>
      <name val="Arial CE"/>
      <family val="2"/>
      <charset val="238"/>
    </font>
    <font>
      <b/>
      <sz val="12"/>
      <name val="Arial CE"/>
      <family val="2"/>
      <charset val="238"/>
    </font>
    <font>
      <b/>
      <sz val="16"/>
      <name val="Arial CE"/>
      <family val="2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sz val="8"/>
      <name val="Arial CE"/>
      <charset val="238"/>
    </font>
    <font>
      <b/>
      <sz val="10"/>
      <color indexed="10"/>
      <name val="Arial CE"/>
      <charset val="238"/>
    </font>
    <font>
      <sz val="10"/>
      <color indexed="10"/>
      <name val="Arial CE"/>
      <charset val="238"/>
    </font>
    <font>
      <b/>
      <sz val="10"/>
      <name val="Arial"/>
      <family val="2"/>
      <charset val="238"/>
    </font>
    <font>
      <b/>
      <sz val="24"/>
      <name val="Arial CE"/>
      <charset val="238"/>
    </font>
    <font>
      <b/>
      <sz val="10"/>
      <color rgb="FFFF0000"/>
      <name val="Arial CE"/>
      <charset val="238"/>
    </font>
    <font>
      <sz val="10"/>
      <color rgb="FFFF0000"/>
      <name val="Arial CE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Verdana"/>
      <family val="2"/>
      <charset val="238"/>
    </font>
    <font>
      <sz val="10"/>
      <color theme="0"/>
      <name val="Arial CE"/>
      <charset val="238"/>
    </font>
    <font>
      <b/>
      <sz val="10"/>
      <color theme="0"/>
      <name val="Arial CE"/>
      <charset val="238"/>
    </font>
    <font>
      <b/>
      <sz val="8"/>
      <color theme="0"/>
      <name val="Arial CE"/>
      <family val="2"/>
      <charset val="238"/>
    </font>
    <font>
      <sz val="8"/>
      <color theme="0"/>
      <name val="Arial CE"/>
      <family val="2"/>
      <charset val="238"/>
    </font>
    <font>
      <b/>
      <sz val="11"/>
      <name val="Arial CE"/>
      <charset val="238"/>
    </font>
    <font>
      <sz val="10"/>
      <color rgb="FF3F5B1B"/>
      <name val="Arial"/>
      <family val="2"/>
      <charset val="238"/>
    </font>
    <font>
      <sz val="10"/>
      <name val="Arial"/>
      <family val="2"/>
      <charset val="238"/>
    </font>
    <font>
      <b/>
      <sz val="12"/>
      <color rgb="FFFF0000"/>
      <name val="Arial CE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1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horizontal="center"/>
    </xf>
    <xf numFmtId="164" fontId="6" fillId="0" borderId="0" xfId="0" applyNumberFormat="1" applyFont="1" applyFill="1" applyBorder="1" applyAlignment="1">
      <alignment vertical="top"/>
    </xf>
    <xf numFmtId="164" fontId="5" fillId="0" borderId="0" xfId="0" applyNumberFormat="1" applyFont="1" applyAlignment="1">
      <alignment horizontal="right"/>
    </xf>
    <xf numFmtId="164" fontId="6" fillId="2" borderId="2" xfId="0" applyNumberFormat="1" applyFont="1" applyFill="1" applyBorder="1" applyAlignment="1">
      <alignment horizontal="right" vertical="top"/>
    </xf>
    <xf numFmtId="164" fontId="6" fillId="2" borderId="2" xfId="0" applyNumberFormat="1" applyFont="1" applyFill="1" applyBorder="1" applyAlignment="1">
      <alignment horizontal="right" vertical="top" wrapText="1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 vertical="top"/>
    </xf>
    <xf numFmtId="164" fontId="7" fillId="4" borderId="3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/>
    <xf numFmtId="164" fontId="8" fillId="3" borderId="0" xfId="0" applyNumberFormat="1" applyFont="1" applyFill="1"/>
    <xf numFmtId="164" fontId="8" fillId="3" borderId="3" xfId="0" applyNumberFormat="1" applyFont="1" applyFill="1" applyBorder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" fontId="6" fillId="2" borderId="2" xfId="0" applyNumberFormat="1" applyFont="1" applyFill="1" applyBorder="1" applyAlignment="1">
      <alignment horizontal="right" vertical="top"/>
    </xf>
    <xf numFmtId="1" fontId="0" fillId="0" borderId="0" xfId="0" applyNumberFormat="1" applyAlignment="1">
      <alignment horizontal="center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 wrapText="1"/>
    </xf>
    <xf numFmtId="0" fontId="10" fillId="5" borderId="0" xfId="0" applyFont="1" applyFill="1" applyAlignment="1">
      <alignment horizontal="center" vertical="top" wrapText="1"/>
    </xf>
    <xf numFmtId="0" fontId="10" fillId="5" borderId="0" xfId="0" applyFont="1" applyFill="1" applyAlignment="1">
      <alignment horizontal="center" vertical="top"/>
    </xf>
    <xf numFmtId="164" fontId="10" fillId="5" borderId="0" xfId="0" applyNumberFormat="1" applyFont="1" applyFill="1" applyAlignment="1">
      <alignment vertical="top"/>
    </xf>
    <xf numFmtId="164" fontId="6" fillId="5" borderId="0" xfId="0" applyNumberFormat="1" applyFont="1" applyFill="1"/>
    <xf numFmtId="164" fontId="10" fillId="5" borderId="0" xfId="0" applyNumberFormat="1" applyFont="1" applyFill="1"/>
    <xf numFmtId="164" fontId="7" fillId="3" borderId="3" xfId="0" applyNumberFormat="1" applyFont="1" applyFill="1" applyBorder="1" applyAlignment="1">
      <alignment horizontal="center" vertical="top"/>
    </xf>
    <xf numFmtId="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0" fillId="6" borderId="0" xfId="0" applyNumberFormat="1" applyFill="1" applyAlignment="1">
      <alignment vertical="top"/>
    </xf>
    <xf numFmtId="49" fontId="0" fillId="0" borderId="0" xfId="0" applyNumberFormat="1" applyAlignment="1">
      <alignment horizontal="center"/>
    </xf>
    <xf numFmtId="0" fontId="0" fillId="0" borderId="0" xfId="0" applyBorder="1"/>
    <xf numFmtId="0" fontId="5" fillId="3" borderId="5" xfId="0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right"/>
    </xf>
    <xf numFmtId="0" fontId="5" fillId="0" borderId="5" xfId="0" applyFont="1" applyBorder="1"/>
    <xf numFmtId="0" fontId="5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right"/>
    </xf>
    <xf numFmtId="0" fontId="5" fillId="0" borderId="0" xfId="0" applyFont="1" applyBorder="1"/>
    <xf numFmtId="164" fontId="4" fillId="6" borderId="0" xfId="0" applyNumberFormat="1" applyFont="1" applyFill="1" applyAlignment="1">
      <alignment vertical="top"/>
    </xf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0" fontId="4" fillId="7" borderId="0" xfId="0" applyFont="1" applyFill="1" applyAlignment="1">
      <alignment horizontal="center"/>
    </xf>
    <xf numFmtId="0" fontId="0" fillId="0" borderId="10" xfId="0" applyBorder="1"/>
    <xf numFmtId="0" fontId="0" fillId="0" borderId="5" xfId="0" applyBorder="1"/>
    <xf numFmtId="0" fontId="0" fillId="0" borderId="0" xfId="0" applyAlignment="1">
      <alignment horizontal="right"/>
    </xf>
    <xf numFmtId="0" fontId="5" fillId="3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4" fillId="0" borderId="5" xfId="0" applyNumberFormat="1" applyFont="1" applyBorder="1"/>
    <xf numFmtId="164" fontId="4" fillId="0" borderId="0" xfId="0" applyNumberFormat="1" applyFont="1" applyBorder="1"/>
    <xf numFmtId="0" fontId="4" fillId="0" borderId="0" xfId="0" applyFont="1" applyBorder="1"/>
    <xf numFmtId="9" fontId="0" fillId="0" borderId="0" xfId="0" applyNumberFormat="1"/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2" fontId="9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5" fillId="0" borderId="0" xfId="0" applyNumberFormat="1" applyFont="1" applyBorder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0" fontId="20" fillId="0" borderId="0" xfId="0" applyFont="1"/>
    <xf numFmtId="0" fontId="0" fillId="0" borderId="11" xfId="0" applyBorder="1"/>
    <xf numFmtId="0" fontId="0" fillId="0" borderId="12" xfId="0" applyBorder="1"/>
    <xf numFmtId="0" fontId="4" fillId="9" borderId="13" xfId="0" applyFont="1" applyFill="1" applyBorder="1"/>
    <xf numFmtId="164" fontId="0" fillId="3" borderId="0" xfId="0" applyNumberForma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6" borderId="0" xfId="0" applyNumberFormat="1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0" xfId="0" applyFont="1" applyAlignment="1">
      <alignment horizontal="center"/>
    </xf>
    <xf numFmtId="164" fontId="21" fillId="6" borderId="0" xfId="0" applyNumberFormat="1" applyFont="1" applyFill="1" applyAlignment="1">
      <alignment vertical="top"/>
    </xf>
    <xf numFmtId="164" fontId="5" fillId="5" borderId="0" xfId="0" applyNumberFormat="1" applyFont="1" applyFill="1" applyAlignment="1">
      <alignment horizontal="right"/>
    </xf>
    <xf numFmtId="164" fontId="21" fillId="6" borderId="14" xfId="0" applyNumberFormat="1" applyFont="1" applyFill="1" applyBorder="1" applyAlignment="1">
      <alignment vertical="top"/>
    </xf>
    <xf numFmtId="164" fontId="21" fillId="6" borderId="7" xfId="0" applyNumberFormat="1" applyFont="1" applyFill="1" applyBorder="1" applyAlignment="1">
      <alignment vertical="top"/>
    </xf>
    <xf numFmtId="164" fontId="21" fillId="6" borderId="9" xfId="0" applyNumberFormat="1" applyFont="1" applyFill="1" applyBorder="1" applyAlignment="1">
      <alignment vertical="top"/>
    </xf>
    <xf numFmtId="0" fontId="8" fillId="10" borderId="2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0" fontId="18" fillId="11" borderId="15" xfId="1" applyFill="1" applyBorder="1" applyAlignment="1" applyProtection="1">
      <alignment horizontal="left" vertical="top" wrapText="1"/>
    </xf>
    <xf numFmtId="0" fontId="18" fillId="0" borderId="0" xfId="1" applyAlignment="1" applyProtection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14" fontId="0" fillId="0" borderId="0" xfId="0" applyNumberFormat="1"/>
    <xf numFmtId="0" fontId="0" fillId="0" borderId="5" xfId="0" applyBorder="1" applyAlignment="1">
      <alignment horizontal="center"/>
    </xf>
    <xf numFmtId="0" fontId="23" fillId="0" borderId="0" xfId="0" applyFont="1" applyAlignment="1">
      <alignment horizontal="right"/>
    </xf>
    <xf numFmtId="0" fontId="16" fillId="3" borderId="3" xfId="0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23" fillId="0" borderId="0" xfId="0" applyFont="1" applyAlignment="1">
      <alignment horizontal="right" wrapText="1"/>
    </xf>
    <xf numFmtId="0" fontId="23" fillId="0" borderId="0" xfId="0" applyFont="1"/>
    <xf numFmtId="0" fontId="16" fillId="12" borderId="3" xfId="0" applyFont="1" applyFill="1" applyBorder="1" applyAlignment="1">
      <alignment horizontal="right"/>
    </xf>
    <xf numFmtId="0" fontId="23" fillId="0" borderId="0" xfId="0" applyFont="1" applyAlignment="1">
      <alignment horizontal="center"/>
    </xf>
    <xf numFmtId="0" fontId="23" fillId="3" borderId="4" xfId="0" applyFont="1" applyFill="1" applyBorder="1"/>
    <xf numFmtId="0" fontId="23" fillId="3" borderId="14" xfId="0" applyFont="1" applyFill="1" applyBorder="1"/>
    <xf numFmtId="170" fontId="23" fillId="0" borderId="0" xfId="0" applyNumberFormat="1" applyFont="1" applyAlignment="1">
      <alignment horizontal="center"/>
    </xf>
    <xf numFmtId="189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23" fillId="3" borderId="6" xfId="0" applyFont="1" applyFill="1" applyBorder="1"/>
    <xf numFmtId="169" fontId="23" fillId="3" borderId="7" xfId="0" applyNumberFormat="1" applyFont="1" applyFill="1" applyBorder="1"/>
    <xf numFmtId="168" fontId="23" fillId="3" borderId="7" xfId="0" applyNumberFormat="1" applyFont="1" applyFill="1" applyBorder="1"/>
    <xf numFmtId="167" fontId="23" fillId="3" borderId="14" xfId="0" applyNumberFormat="1" applyFont="1" applyFill="1" applyBorder="1"/>
    <xf numFmtId="0" fontId="23" fillId="3" borderId="7" xfId="0" applyNumberFormat="1" applyFont="1" applyFill="1" applyBorder="1"/>
    <xf numFmtId="0" fontId="23" fillId="3" borderId="8" xfId="0" applyFont="1" applyFill="1" applyBorder="1"/>
    <xf numFmtId="0" fontId="23" fillId="0" borderId="6" xfId="0" applyFont="1" applyBorder="1"/>
    <xf numFmtId="0" fontId="23" fillId="0" borderId="7" xfId="0" applyNumberFormat="1" applyFont="1" applyBorder="1"/>
    <xf numFmtId="168" fontId="16" fillId="0" borderId="0" xfId="0" applyNumberFormat="1" applyFont="1" applyAlignment="1">
      <alignment horizontal="center"/>
    </xf>
    <xf numFmtId="191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190" fontId="16" fillId="0" borderId="0" xfId="0" applyNumberFormat="1" applyFont="1" applyAlignment="1">
      <alignment horizontal="right"/>
    </xf>
    <xf numFmtId="174" fontId="24" fillId="3" borderId="3" xfId="0" applyNumberFormat="1" applyFont="1" applyFill="1" applyBorder="1"/>
    <xf numFmtId="0" fontId="24" fillId="0" borderId="0" xfId="0" applyNumberFormat="1" applyFont="1" applyAlignment="1">
      <alignment horizontal="center"/>
    </xf>
    <xf numFmtId="185" fontId="16" fillId="0" borderId="0" xfId="0" applyNumberFormat="1" applyFont="1" applyAlignment="1">
      <alignment horizontal="center"/>
    </xf>
    <xf numFmtId="168" fontId="24" fillId="0" borderId="0" xfId="0" applyNumberFormat="1" applyFont="1" applyAlignment="1">
      <alignment horizontal="center"/>
    </xf>
    <xf numFmtId="190" fontId="16" fillId="0" borderId="0" xfId="0" applyNumberFormat="1" applyFont="1" applyAlignment="1">
      <alignment horizontal="center"/>
    </xf>
    <xf numFmtId="186" fontId="16" fillId="0" borderId="0" xfId="0" applyNumberFormat="1" applyFont="1"/>
    <xf numFmtId="0" fontId="23" fillId="0" borderId="4" xfId="0" applyFont="1" applyBorder="1"/>
    <xf numFmtId="0" fontId="23" fillId="0" borderId="10" xfId="0" applyFont="1" applyBorder="1"/>
    <xf numFmtId="0" fontId="23" fillId="0" borderId="10" xfId="0" applyFont="1" applyBorder="1" applyAlignment="1">
      <alignment horizontal="center"/>
    </xf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165" fontId="23" fillId="0" borderId="7" xfId="0" applyNumberFormat="1" applyFont="1" applyBorder="1" applyAlignment="1">
      <alignment horizontal="center"/>
    </xf>
    <xf numFmtId="0" fontId="16" fillId="13" borderId="3" xfId="0" applyNumberFormat="1" applyFont="1" applyFill="1" applyBorder="1"/>
    <xf numFmtId="176" fontId="23" fillId="0" borderId="0" xfId="0" applyNumberFormat="1" applyFont="1" applyBorder="1" applyAlignment="1">
      <alignment horizontal="center"/>
    </xf>
    <xf numFmtId="0" fontId="23" fillId="2" borderId="6" xfId="0" applyFont="1" applyFill="1" applyBorder="1"/>
    <xf numFmtId="189" fontId="23" fillId="2" borderId="7" xfId="0" applyNumberFormat="1" applyFont="1" applyFill="1" applyBorder="1" applyAlignment="1">
      <alignment horizontal="right"/>
    </xf>
    <xf numFmtId="0" fontId="23" fillId="7" borderId="6" xfId="0" applyFont="1" applyFill="1" applyBorder="1"/>
    <xf numFmtId="171" fontId="23" fillId="7" borderId="7" xfId="0" applyNumberFormat="1" applyFont="1" applyFill="1" applyBorder="1"/>
    <xf numFmtId="0" fontId="23" fillId="0" borderId="8" xfId="0" applyFont="1" applyBorder="1"/>
    <xf numFmtId="176" fontId="25" fillId="0" borderId="5" xfId="0" applyNumberFormat="1" applyFont="1" applyBorder="1" applyAlignment="1">
      <alignment horizontal="center"/>
    </xf>
    <xf numFmtId="0" fontId="23" fillId="0" borderId="5" xfId="0" applyFont="1" applyBorder="1"/>
    <xf numFmtId="178" fontId="23" fillId="7" borderId="7" xfId="0" applyNumberFormat="1" applyFont="1" applyFill="1" applyBorder="1"/>
    <xf numFmtId="0" fontId="23" fillId="0" borderId="0" xfId="0" applyFont="1" applyAlignment="1">
      <alignment wrapText="1"/>
    </xf>
    <xf numFmtId="184" fontId="23" fillId="7" borderId="7" xfId="0" applyNumberFormat="1" applyFont="1" applyFill="1" applyBorder="1"/>
    <xf numFmtId="0" fontId="25" fillId="0" borderId="11" xfId="0" applyFont="1" applyBorder="1" applyAlignment="1">
      <alignment horizontal="center"/>
    </xf>
    <xf numFmtId="0" fontId="23" fillId="7" borderId="8" xfId="0" applyFont="1" applyFill="1" applyBorder="1"/>
    <xf numFmtId="184" fontId="23" fillId="7" borderId="9" xfId="0" applyNumberFormat="1" applyFont="1" applyFill="1" applyBorder="1"/>
    <xf numFmtId="165" fontId="16" fillId="0" borderId="12" xfId="0" applyNumberFormat="1" applyFont="1" applyBorder="1" applyAlignment="1">
      <alignment horizontal="center"/>
    </xf>
    <xf numFmtId="165" fontId="23" fillId="0" borderId="0" xfId="0" applyNumberFormat="1" applyFont="1"/>
    <xf numFmtId="165" fontId="16" fillId="0" borderId="13" xfId="0" applyNumberFormat="1" applyFont="1" applyBorder="1" applyAlignment="1">
      <alignment horizontal="center"/>
    </xf>
    <xf numFmtId="165" fontId="16" fillId="0" borderId="0" xfId="0" applyNumberFormat="1" applyFont="1"/>
    <xf numFmtId="165" fontId="16" fillId="3" borderId="13" xfId="0" applyNumberFormat="1" applyFont="1" applyFill="1" applyBorder="1" applyAlignment="1">
      <alignment horizontal="center"/>
    </xf>
    <xf numFmtId="186" fontId="24" fillId="0" borderId="13" xfId="0" applyNumberFormat="1" applyFont="1" applyBorder="1"/>
    <xf numFmtId="169" fontId="23" fillId="0" borderId="0" xfId="0" applyNumberFormat="1" applyFont="1"/>
    <xf numFmtId="168" fontId="16" fillId="0" borderId="0" xfId="0" applyNumberFormat="1" applyFont="1"/>
    <xf numFmtId="0" fontId="23" fillId="3" borderId="1" xfId="0" applyFont="1" applyFill="1" applyBorder="1"/>
    <xf numFmtId="174" fontId="24" fillId="3" borderId="16" xfId="0" applyNumberFormat="1" applyFont="1" applyFill="1" applyBorder="1"/>
    <xf numFmtId="165" fontId="24" fillId="0" borderId="0" xfId="0" applyNumberFormat="1" applyFont="1"/>
    <xf numFmtId="172" fontId="24" fillId="3" borderId="16" xfId="0" applyNumberFormat="1" applyFont="1" applyFill="1" applyBorder="1"/>
    <xf numFmtId="172" fontId="24" fillId="3" borderId="9" xfId="0" applyNumberFormat="1" applyFont="1" applyFill="1" applyBorder="1"/>
    <xf numFmtId="165" fontId="26" fillId="0" borderId="0" xfId="0" applyNumberFormat="1" applyFont="1"/>
    <xf numFmtId="166" fontId="23" fillId="0" borderId="0" xfId="0" applyNumberFormat="1" applyFont="1"/>
    <xf numFmtId="172" fontId="27" fillId="3" borderId="9" xfId="0" applyNumberFormat="1" applyFont="1" applyFill="1" applyBorder="1"/>
    <xf numFmtId="172" fontId="23" fillId="0" borderId="0" xfId="0" applyNumberFormat="1" applyFont="1"/>
    <xf numFmtId="0" fontId="23" fillId="0" borderId="14" xfId="0" applyFont="1" applyBorder="1"/>
    <xf numFmtId="1" fontId="23" fillId="0" borderId="0" xfId="0" applyNumberFormat="1" applyFont="1"/>
    <xf numFmtId="175" fontId="23" fillId="0" borderId="7" xfId="0" applyNumberFormat="1" applyFont="1" applyBorder="1"/>
    <xf numFmtId="167" fontId="23" fillId="0" borderId="0" xfId="0" applyNumberFormat="1" applyFont="1"/>
    <xf numFmtId="179" fontId="23" fillId="0" borderId="7" xfId="0" applyNumberFormat="1" applyFont="1" applyBorder="1"/>
    <xf numFmtId="181" fontId="23" fillId="0" borderId="7" xfId="0" applyNumberFormat="1" applyFont="1" applyBorder="1"/>
    <xf numFmtId="164" fontId="23" fillId="0" borderId="0" xfId="0" applyNumberFormat="1" applyFont="1"/>
    <xf numFmtId="0" fontId="24" fillId="3" borderId="1" xfId="0" applyFont="1" applyFill="1" applyBorder="1"/>
    <xf numFmtId="177" fontId="24" fillId="3" borderId="16" xfId="0" applyNumberFormat="1" applyFont="1" applyFill="1" applyBorder="1"/>
    <xf numFmtId="182" fontId="23" fillId="0" borderId="7" xfId="0" applyNumberFormat="1" applyFont="1" applyBorder="1"/>
    <xf numFmtId="180" fontId="23" fillId="0" borderId="7" xfId="0" applyNumberFormat="1" applyFont="1" applyBorder="1"/>
    <xf numFmtId="183" fontId="23" fillId="0" borderId="7" xfId="0" applyNumberFormat="1" applyFont="1" applyBorder="1"/>
    <xf numFmtId="173" fontId="23" fillId="0" borderId="7" xfId="0" applyNumberFormat="1" applyFont="1" applyBorder="1"/>
    <xf numFmtId="164" fontId="4" fillId="8" borderId="0" xfId="0" applyNumberFormat="1" applyFont="1" applyFill="1" applyAlignment="1">
      <alignment horizontal="right"/>
    </xf>
    <xf numFmtId="164" fontId="5" fillId="5" borderId="0" xfId="0" applyNumberFormat="1" applyFont="1" applyFill="1"/>
    <xf numFmtId="1" fontId="0" fillId="0" borderId="0" xfId="0" applyNumberFormat="1" applyAlignment="1">
      <alignment horizontal="right"/>
    </xf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28" fillId="14" borderId="0" xfId="0" applyFont="1" applyFill="1" applyAlignment="1">
      <alignment horizontal="center"/>
    </xf>
    <xf numFmtId="0" fontId="16" fillId="0" borderId="4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28" fillId="0" borderId="0" xfId="0" applyFont="1" applyAlignment="1">
      <alignment vertical="top"/>
    </xf>
    <xf numFmtId="0" fontId="28" fillId="0" borderId="0" xfId="0" applyFont="1"/>
    <xf numFmtId="164" fontId="28" fillId="0" borderId="0" xfId="0" applyNumberFormat="1" applyFont="1"/>
    <xf numFmtId="164" fontId="24" fillId="3" borderId="1" xfId="0" applyNumberFormat="1" applyFont="1" applyFill="1" applyBorder="1" applyAlignment="1">
      <alignment horizontal="center" vertical="top"/>
    </xf>
    <xf numFmtId="164" fontId="24" fillId="4" borderId="3" xfId="0" applyNumberFormat="1" applyFont="1" applyFill="1" applyBorder="1" applyAlignment="1">
      <alignment horizontal="center" vertical="top"/>
    </xf>
    <xf numFmtId="164" fontId="16" fillId="0" borderId="0" xfId="0" applyNumberFormat="1" applyFont="1" applyBorder="1" applyAlignment="1">
      <alignment horizontal="center" vertical="top" wrapText="1"/>
    </xf>
    <xf numFmtId="164" fontId="24" fillId="4" borderId="0" xfId="0" applyNumberFormat="1" applyFont="1" applyFill="1" applyBorder="1" applyAlignment="1">
      <alignment horizontal="center" vertical="top"/>
    </xf>
    <xf numFmtId="0" fontId="28" fillId="0" borderId="0" xfId="0" applyFont="1" applyFill="1" applyAlignment="1">
      <alignment horizontal="center" vertical="top"/>
    </xf>
    <xf numFmtId="0" fontId="28" fillId="0" borderId="0" xfId="0" applyFont="1" applyFill="1" applyAlignment="1">
      <alignment vertical="top"/>
    </xf>
    <xf numFmtId="0" fontId="28" fillId="0" borderId="0" xfId="0" applyFont="1" applyFill="1"/>
    <xf numFmtId="164" fontId="28" fillId="0" borderId="0" xfId="0" applyNumberFormat="1" applyFont="1" applyFill="1"/>
    <xf numFmtId="0" fontId="29" fillId="2" borderId="1" xfId="0" applyFont="1" applyFill="1" applyBorder="1" applyAlignment="1">
      <alignment horizontal="center" vertical="top"/>
    </xf>
    <xf numFmtId="0" fontId="29" fillId="2" borderId="2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/>
    </xf>
    <xf numFmtId="0" fontId="24" fillId="10" borderId="2" xfId="0" applyFont="1" applyFill="1" applyBorder="1" applyAlignment="1">
      <alignment vertical="top"/>
    </xf>
    <xf numFmtId="0" fontId="29" fillId="2" borderId="2" xfId="0" applyFont="1" applyFill="1" applyBorder="1" applyAlignment="1">
      <alignment vertical="top"/>
    </xf>
    <xf numFmtId="164" fontId="29" fillId="2" borderId="16" xfId="0" applyNumberFormat="1" applyFont="1" applyFill="1" applyBorder="1" applyAlignment="1">
      <alignment vertical="top"/>
    </xf>
    <xf numFmtId="0" fontId="28" fillId="3" borderId="0" xfId="0" applyFont="1" applyFill="1" applyAlignment="1">
      <alignment horizontal="center" vertical="top" wrapText="1"/>
    </xf>
    <xf numFmtId="0" fontId="28" fillId="3" borderId="0" xfId="0" applyFont="1" applyFill="1" applyAlignment="1">
      <alignment horizontal="center" vertical="top"/>
    </xf>
    <xf numFmtId="0" fontId="28" fillId="3" borderId="0" xfId="0" applyFont="1" applyFill="1" applyAlignment="1">
      <alignment vertical="top"/>
    </xf>
    <xf numFmtId="164" fontId="28" fillId="3" borderId="0" xfId="0" applyNumberFormat="1" applyFont="1" applyFill="1" applyAlignment="1">
      <alignment vertical="top"/>
    </xf>
    <xf numFmtId="0" fontId="16" fillId="3" borderId="0" xfId="0" applyFont="1" applyFill="1" applyAlignment="1">
      <alignment horizontal="center" vertical="top" wrapText="1"/>
    </xf>
    <xf numFmtId="164" fontId="28" fillId="5" borderId="0" xfId="0" applyNumberFormat="1" applyFont="1" applyFill="1" applyAlignment="1">
      <alignment vertical="top"/>
    </xf>
    <xf numFmtId="164" fontId="28" fillId="0" borderId="0" xfId="0" applyNumberFormat="1" applyFont="1" applyAlignment="1">
      <alignment vertical="top"/>
    </xf>
    <xf numFmtId="0" fontId="29" fillId="3" borderId="0" xfId="0" applyFont="1" applyFill="1" applyBorder="1" applyAlignment="1">
      <alignment horizontal="center" vertical="top" wrapText="1"/>
    </xf>
    <xf numFmtId="0" fontId="29" fillId="3" borderId="0" xfId="0" applyFont="1" applyFill="1" applyBorder="1" applyAlignment="1">
      <alignment horizontal="center" vertical="top"/>
    </xf>
    <xf numFmtId="0" fontId="29" fillId="3" borderId="0" xfId="0" applyFont="1" applyFill="1" applyBorder="1" applyAlignment="1">
      <alignment vertical="top"/>
    </xf>
    <xf numFmtId="164" fontId="29" fillId="3" borderId="0" xfId="0" applyNumberFormat="1" applyFont="1" applyFill="1" applyBorder="1" applyAlignment="1">
      <alignment vertical="top"/>
    </xf>
    <xf numFmtId="0" fontId="23" fillId="3" borderId="0" xfId="0" applyFont="1" applyFill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28" fillId="0" borderId="0" xfId="0" applyFont="1" applyFill="1" applyAlignment="1">
      <alignment horizontal="center" vertical="top" wrapText="1"/>
    </xf>
    <xf numFmtId="164" fontId="28" fillId="0" borderId="0" xfId="0" applyNumberFormat="1" applyFont="1" applyFill="1" applyAlignment="1">
      <alignment vertical="top"/>
    </xf>
    <xf numFmtId="164" fontId="16" fillId="14" borderId="0" xfId="0" applyNumberFormat="1" applyFont="1" applyFill="1" applyAlignment="1">
      <alignment horizontal="center"/>
    </xf>
    <xf numFmtId="0" fontId="28" fillId="9" borderId="0" xfId="0" applyFont="1" applyFill="1" applyAlignment="1">
      <alignment horizontal="center" vertical="top"/>
    </xf>
    <xf numFmtId="0" fontId="28" fillId="14" borderId="0" xfId="0" applyFont="1" applyFill="1" applyAlignment="1">
      <alignment horizontal="center" vertical="top" wrapText="1"/>
    </xf>
    <xf numFmtId="0" fontId="28" fillId="14" borderId="0" xfId="0" applyFont="1" applyFill="1" applyAlignment="1">
      <alignment horizontal="center" vertical="top"/>
    </xf>
    <xf numFmtId="0" fontId="28" fillId="14" borderId="0" xfId="0" applyFont="1" applyFill="1" applyAlignment="1">
      <alignment vertical="top"/>
    </xf>
    <xf numFmtId="164" fontId="28" fillId="14" borderId="0" xfId="0" applyNumberFormat="1" applyFont="1" applyFill="1" applyAlignment="1">
      <alignment vertical="top"/>
    </xf>
    <xf numFmtId="0" fontId="28" fillId="14" borderId="0" xfId="0" applyFont="1" applyFill="1"/>
    <xf numFmtId="164" fontId="28" fillId="14" borderId="0" xfId="0" applyNumberFormat="1" applyFont="1" applyFill="1"/>
    <xf numFmtId="0" fontId="23" fillId="14" borderId="0" xfId="0" applyFont="1" applyFill="1" applyAlignment="1">
      <alignment horizontal="center" vertical="top" wrapText="1"/>
    </xf>
    <xf numFmtId="164" fontId="28" fillId="14" borderId="0" xfId="0" applyNumberFormat="1" applyFont="1" applyFill="1" applyAlignment="1">
      <alignment horizontal="center"/>
    </xf>
    <xf numFmtId="0" fontId="30" fillId="14" borderId="0" xfId="0" applyFont="1" applyFill="1" applyAlignment="1">
      <alignment horizontal="center" vertical="top" wrapText="1"/>
    </xf>
    <xf numFmtId="0" fontId="23" fillId="14" borderId="0" xfId="0" applyFont="1" applyFill="1" applyAlignment="1">
      <alignment horizontal="center" vertical="top"/>
    </xf>
    <xf numFmtId="0" fontId="23" fillId="14" borderId="0" xfId="0" applyFont="1" applyFill="1" applyAlignment="1">
      <alignment vertical="top"/>
    </xf>
    <xf numFmtId="164" fontId="23" fillId="14" borderId="0" xfId="0" applyNumberFormat="1" applyFont="1" applyFill="1" applyAlignment="1">
      <alignment vertical="top"/>
    </xf>
    <xf numFmtId="0" fontId="28" fillId="9" borderId="0" xfId="0" applyFont="1" applyFill="1" applyAlignment="1">
      <alignment horizontal="center" vertical="top" wrapText="1"/>
    </xf>
    <xf numFmtId="164" fontId="28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/>
    <xf numFmtId="164" fontId="31" fillId="0" borderId="0" xfId="0" applyNumberFormat="1" applyFont="1" applyFill="1" applyAlignment="1">
      <alignment horizontal="center"/>
    </xf>
    <xf numFmtId="164" fontId="31" fillId="0" borderId="0" xfId="0" applyNumberFormat="1" applyFont="1"/>
    <xf numFmtId="0" fontId="16" fillId="0" borderId="0" xfId="0" applyFont="1"/>
    <xf numFmtId="164" fontId="5" fillId="3" borderId="0" xfId="0" applyNumberFormat="1" applyFont="1" applyFill="1"/>
    <xf numFmtId="164" fontId="28" fillId="7" borderId="0" xfId="0" applyNumberFormat="1" applyFont="1" applyFill="1"/>
    <xf numFmtId="164" fontId="28" fillId="7" borderId="0" xfId="0" applyNumberFormat="1" applyFont="1" applyFill="1" applyAlignment="1">
      <alignment vertical="top"/>
    </xf>
    <xf numFmtId="0" fontId="28" fillId="7" borderId="0" xfId="0" applyFont="1" applyFill="1" applyAlignment="1">
      <alignment horizontal="center" vertical="top"/>
    </xf>
    <xf numFmtId="0" fontId="28" fillId="7" borderId="0" xfId="0" applyFont="1" applyFill="1" applyAlignment="1">
      <alignment horizontal="center" vertical="top" wrapText="1"/>
    </xf>
    <xf numFmtId="0" fontId="28" fillId="7" borderId="0" xfId="0" applyFont="1" applyFill="1" applyAlignment="1">
      <alignment vertical="top"/>
    </xf>
    <xf numFmtId="0" fontId="28" fillId="7" borderId="0" xfId="0" applyFont="1" applyFill="1"/>
    <xf numFmtId="0" fontId="28" fillId="7" borderId="0" xfId="0" applyFont="1" applyFill="1" applyAlignment="1">
      <alignment horizontal="center"/>
    </xf>
    <xf numFmtId="0" fontId="23" fillId="3" borderId="0" xfId="0" applyFont="1" applyFill="1" applyAlignment="1">
      <alignment horizontal="center" vertical="top"/>
    </xf>
    <xf numFmtId="164" fontId="23" fillId="3" borderId="0" xfId="0" applyNumberFormat="1" applyFont="1" applyFill="1" applyAlignment="1">
      <alignment vertical="top"/>
    </xf>
    <xf numFmtId="164" fontId="23" fillId="5" borderId="0" xfId="0" applyNumberFormat="1" applyFont="1" applyFill="1" applyAlignment="1">
      <alignment vertical="top"/>
    </xf>
    <xf numFmtId="164" fontId="5" fillId="7" borderId="0" xfId="0" applyNumberFormat="1" applyFont="1" applyFill="1"/>
    <xf numFmtId="0" fontId="29" fillId="2" borderId="2" xfId="0" applyFont="1" applyFill="1" applyBorder="1" applyAlignment="1">
      <alignment horizontal="right" vertical="top"/>
    </xf>
    <xf numFmtId="164" fontId="29" fillId="2" borderId="2" xfId="0" applyNumberFormat="1" applyFont="1" applyFill="1" applyBorder="1" applyAlignment="1">
      <alignment horizontal="right" vertical="top" wrapText="1"/>
    </xf>
    <xf numFmtId="164" fontId="29" fillId="2" borderId="2" xfId="0" applyNumberFormat="1" applyFont="1" applyFill="1" applyBorder="1" applyAlignment="1">
      <alignment horizontal="right" vertical="top"/>
    </xf>
    <xf numFmtId="0" fontId="23" fillId="3" borderId="0" xfId="0" applyFont="1" applyFill="1" applyAlignment="1">
      <alignment horizontal="center"/>
    </xf>
    <xf numFmtId="0" fontId="23" fillId="3" borderId="0" xfId="0" applyFont="1" applyFill="1" applyAlignment="1">
      <alignment horizontal="right"/>
    </xf>
    <xf numFmtId="164" fontId="23" fillId="3" borderId="0" xfId="0" applyNumberFormat="1" applyFont="1" applyFill="1" applyAlignment="1">
      <alignment horizontal="right"/>
    </xf>
    <xf numFmtId="0" fontId="23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right"/>
    </xf>
    <xf numFmtId="164" fontId="23" fillId="3" borderId="0" xfId="0" applyNumberFormat="1" applyFont="1" applyFill="1" applyBorder="1" applyAlignment="1">
      <alignment horizontal="right"/>
    </xf>
    <xf numFmtId="0" fontId="23" fillId="4" borderId="0" xfId="0" applyFont="1" applyFill="1" applyAlignment="1">
      <alignment vertical="top"/>
    </xf>
    <xf numFmtId="0" fontId="28" fillId="4" borderId="0" xfId="0" applyFont="1" applyFill="1" applyAlignment="1">
      <alignment vertical="top"/>
    </xf>
    <xf numFmtId="165" fontId="23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24" fillId="0" borderId="10" xfId="0" applyNumberFormat="1" applyFont="1" applyBorder="1" applyAlignment="1">
      <alignment horizontal="center"/>
    </xf>
    <xf numFmtId="0" fontId="23" fillId="0" borderId="7" xfId="0" applyFont="1" applyBorder="1"/>
    <xf numFmtId="176" fontId="23" fillId="0" borderId="0" xfId="0" applyNumberFormat="1" applyFont="1" applyAlignment="1">
      <alignment horizontal="center"/>
    </xf>
    <xf numFmtId="192" fontId="2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0" fontId="28" fillId="0" borderId="0" xfId="0" applyFont="1" applyAlignment="1">
      <alignment horizontal="right" vertical="top"/>
    </xf>
    <xf numFmtId="0" fontId="28" fillId="0" borderId="0" xfId="0" applyFont="1" applyFill="1" applyAlignment="1">
      <alignment horizontal="right" vertical="top"/>
    </xf>
    <xf numFmtId="0" fontId="28" fillId="3" borderId="0" xfId="0" applyFont="1" applyFill="1" applyAlignment="1">
      <alignment horizontal="right" vertical="top" wrapText="1"/>
    </xf>
    <xf numFmtId="164" fontId="23" fillId="3" borderId="0" xfId="0" applyNumberFormat="1" applyFont="1" applyFill="1" applyAlignment="1">
      <alignment horizontal="right" vertical="top"/>
    </xf>
    <xf numFmtId="0" fontId="23" fillId="3" borderId="0" xfId="0" applyFont="1" applyFill="1" applyAlignment="1">
      <alignment horizontal="right" vertical="top" wrapText="1"/>
    </xf>
    <xf numFmtId="164" fontId="28" fillId="3" borderId="0" xfId="0" applyNumberFormat="1" applyFont="1" applyFill="1" applyAlignment="1">
      <alignment horizontal="right" vertical="top"/>
    </xf>
    <xf numFmtId="164" fontId="28" fillId="7" borderId="0" xfId="0" applyNumberFormat="1" applyFont="1" applyFill="1" applyAlignment="1">
      <alignment horizontal="right" vertical="top"/>
    </xf>
    <xf numFmtId="0" fontId="28" fillId="3" borderId="0" xfId="0" applyFont="1" applyFill="1" applyAlignment="1">
      <alignment horizontal="right" vertical="top"/>
    </xf>
    <xf numFmtId="164" fontId="28" fillId="0" borderId="0" xfId="0" applyNumberFormat="1" applyFont="1" applyAlignment="1">
      <alignment horizontal="right" vertical="top"/>
    </xf>
    <xf numFmtId="164" fontId="29" fillId="3" borderId="0" xfId="0" applyNumberFormat="1" applyFont="1" applyFill="1" applyBorder="1" applyAlignment="1">
      <alignment horizontal="right" vertical="top"/>
    </xf>
    <xf numFmtId="0" fontId="16" fillId="3" borderId="0" xfId="0" applyFont="1" applyFill="1" applyAlignment="1">
      <alignment horizontal="right" vertical="top" wrapText="1"/>
    </xf>
    <xf numFmtId="164" fontId="28" fillId="0" borderId="0" xfId="0" applyNumberFormat="1" applyFont="1" applyFill="1" applyAlignment="1">
      <alignment horizontal="right" vertical="top"/>
    </xf>
    <xf numFmtId="164" fontId="28" fillId="14" borderId="0" xfId="0" applyNumberFormat="1" applyFont="1" applyFill="1" applyAlignment="1">
      <alignment horizontal="right" vertical="top"/>
    </xf>
    <xf numFmtId="0" fontId="30" fillId="14" borderId="0" xfId="0" applyFont="1" applyFill="1" applyAlignment="1">
      <alignment horizontal="right" vertical="top" wrapText="1"/>
    </xf>
    <xf numFmtId="164" fontId="23" fillId="14" borderId="0" xfId="0" applyNumberFormat="1" applyFont="1" applyFill="1" applyAlignment="1">
      <alignment horizontal="right" vertical="top"/>
    </xf>
    <xf numFmtId="0" fontId="28" fillId="14" borderId="0" xfId="0" applyFont="1" applyFill="1" applyAlignment="1">
      <alignment horizontal="right" vertical="top"/>
    </xf>
    <xf numFmtId="164" fontId="28" fillId="3" borderId="0" xfId="0" applyNumberFormat="1" applyFont="1" applyFill="1" applyAlignment="1">
      <alignment horizontal="right" vertical="top" wrapText="1"/>
    </xf>
    <xf numFmtId="3" fontId="28" fillId="0" borderId="0" xfId="0" applyNumberFormat="1" applyFont="1" applyAlignment="1">
      <alignment horizontal="right" vertical="top" wrapText="1"/>
    </xf>
    <xf numFmtId="164" fontId="5" fillId="0" borderId="0" xfId="0" applyNumberFormat="1" applyFont="1" applyFill="1"/>
    <xf numFmtId="0" fontId="4" fillId="3" borderId="0" xfId="0" applyFont="1" applyFill="1"/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9" fillId="3" borderId="0" xfId="0" applyFont="1" applyFill="1"/>
    <xf numFmtId="0" fontId="5" fillId="0" borderId="0" xfId="0" applyFont="1" applyFill="1"/>
    <xf numFmtId="0" fontId="32" fillId="0" borderId="0" xfId="0" applyFont="1" applyAlignment="1">
      <alignment vertical="top" wrapText="1"/>
    </xf>
    <xf numFmtId="16" fontId="0" fillId="0" borderId="0" xfId="0" applyNumberFormat="1"/>
    <xf numFmtId="0" fontId="0" fillId="0" borderId="4" xfId="0" applyBorder="1"/>
    <xf numFmtId="0" fontId="0" fillId="0" borderId="14" xfId="0" applyBorder="1"/>
    <xf numFmtId="0" fontId="5" fillId="3" borderId="0" xfId="0" applyFont="1" applyFill="1"/>
    <xf numFmtId="164" fontId="0" fillId="0" borderId="10" xfId="0" applyNumberFormat="1" applyBorder="1"/>
    <xf numFmtId="0" fontId="0" fillId="0" borderId="8" xfId="0" applyBorder="1"/>
    <xf numFmtId="0" fontId="5" fillId="7" borderId="0" xfId="0" applyFont="1" applyFill="1"/>
    <xf numFmtId="164" fontId="28" fillId="13" borderId="0" xfId="0" applyNumberFormat="1" applyFont="1" applyFill="1" applyAlignment="1">
      <alignment horizontal="right" vertical="top"/>
    </xf>
    <xf numFmtId="164" fontId="28" fillId="15" borderId="0" xfId="0" applyNumberFormat="1" applyFont="1" applyFill="1" applyAlignment="1">
      <alignment horizontal="right" vertical="top"/>
    </xf>
    <xf numFmtId="0" fontId="28" fillId="15" borderId="0" xfId="0" applyFont="1" applyFill="1" applyAlignment="1">
      <alignment vertical="top"/>
    </xf>
    <xf numFmtId="0" fontId="28" fillId="13" borderId="0" xfId="0" applyFont="1" applyFill="1" applyAlignment="1">
      <alignment vertical="top"/>
    </xf>
    <xf numFmtId="164" fontId="6" fillId="2" borderId="2" xfId="0" applyNumberFormat="1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 wrapText="1"/>
    </xf>
    <xf numFmtId="164" fontId="5" fillId="0" borderId="5" xfId="0" applyNumberFormat="1" applyFont="1" applyBorder="1"/>
    <xf numFmtId="164" fontId="5" fillId="0" borderId="5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2" fontId="8" fillId="3" borderId="0" xfId="0" applyNumberFormat="1" applyFont="1" applyFill="1" applyAlignment="1">
      <alignment horizontal="center"/>
    </xf>
    <xf numFmtId="164" fontId="16" fillId="10" borderId="3" xfId="0" applyNumberFormat="1" applyFont="1" applyFill="1" applyBorder="1" applyAlignment="1">
      <alignment horizontal="center" vertical="top" wrapText="1"/>
    </xf>
    <xf numFmtId="0" fontId="0" fillId="0" borderId="0" xfId="0" applyFill="1"/>
    <xf numFmtId="164" fontId="16" fillId="10" borderId="0" xfId="0" applyNumberFormat="1" applyFont="1" applyFill="1" applyAlignment="1">
      <alignment vertical="top"/>
    </xf>
    <xf numFmtId="0" fontId="16" fillId="10" borderId="0" xfId="0" applyFont="1" applyFill="1" applyAlignment="1">
      <alignment horizontal="center" vertical="top" wrapText="1"/>
    </xf>
    <xf numFmtId="0" fontId="16" fillId="10" borderId="0" xfId="0" applyFont="1" applyFill="1" applyAlignment="1">
      <alignment horizontal="center" vertical="top"/>
    </xf>
    <xf numFmtId="0" fontId="16" fillId="10" borderId="0" xfId="0" applyFont="1" applyFill="1" applyAlignment="1">
      <alignment vertical="top"/>
    </xf>
    <xf numFmtId="3" fontId="16" fillId="10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left"/>
    </xf>
    <xf numFmtId="164" fontId="0" fillId="0" borderId="4" xfId="0" applyNumberFormat="1" applyBorder="1"/>
    <xf numFmtId="0" fontId="5" fillId="0" borderId="10" xfId="0" applyFont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" fillId="0" borderId="7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right"/>
    </xf>
    <xf numFmtId="0" fontId="0" fillId="0" borderId="5" xfId="0" applyBorder="1" applyAlignment="1">
      <alignment horizontal="left"/>
    </xf>
    <xf numFmtId="0" fontId="4" fillId="0" borderId="9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0" fillId="0" borderId="0" xfId="0" applyNumberFormat="1"/>
    <xf numFmtId="193" fontId="0" fillId="0" borderId="0" xfId="0" applyNumberFormat="1"/>
    <xf numFmtId="0" fontId="5" fillId="8" borderId="0" xfId="0" applyFont="1" applyFill="1" applyAlignment="1">
      <alignment horizontal="center"/>
    </xf>
    <xf numFmtId="164" fontId="5" fillId="8" borderId="0" xfId="0" applyNumberFormat="1" applyFont="1" applyFill="1" applyAlignment="1">
      <alignment horizontal="right"/>
    </xf>
    <xf numFmtId="164" fontId="5" fillId="8" borderId="0" xfId="0" applyNumberFormat="1" applyFont="1" applyFill="1"/>
    <xf numFmtId="0" fontId="5" fillId="8" borderId="0" xfId="0" applyFont="1" applyFill="1"/>
    <xf numFmtId="2" fontId="5" fillId="8" borderId="0" xfId="0" applyNumberFormat="1" applyFont="1" applyFill="1" applyAlignment="1">
      <alignment horizontal="center"/>
    </xf>
    <xf numFmtId="0" fontId="5" fillId="8" borderId="0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5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5" fillId="7" borderId="0" xfId="0" applyNumberFormat="1" applyFont="1" applyFill="1" applyAlignment="1">
      <alignment vertical="top"/>
    </xf>
    <xf numFmtId="164" fontId="6" fillId="7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7" borderId="0" xfId="0" applyFont="1" applyFill="1"/>
    <xf numFmtId="164" fontId="6" fillId="5" borderId="0" xfId="0" applyNumberFormat="1" applyFont="1" applyFill="1" applyAlignment="1">
      <alignment vertical="top"/>
    </xf>
    <xf numFmtId="164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5" fillId="5" borderId="0" xfId="0" applyFont="1" applyFill="1"/>
    <xf numFmtId="2" fontId="5" fillId="5" borderId="0" xfId="0" applyNumberFormat="1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/>
    <xf numFmtId="2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64" fontId="4" fillId="0" borderId="0" xfId="0" applyNumberFormat="1" applyFont="1" applyFill="1"/>
    <xf numFmtId="0" fontId="4" fillId="0" borderId="0" xfId="0" applyFon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4" fillId="3" borderId="0" xfId="0" applyNumberFormat="1" applyFont="1" applyFill="1"/>
    <xf numFmtId="0" fontId="0" fillId="0" borderId="0" xfId="0" applyAlignment="1">
      <alignment horizontal="left" wrapText="1"/>
    </xf>
    <xf numFmtId="194" fontId="23" fillId="0" borderId="0" xfId="0" applyNumberFormat="1" applyFont="1" applyBorder="1" applyAlignment="1">
      <alignment horizontal="right"/>
    </xf>
    <xf numFmtId="195" fontId="23" fillId="0" borderId="0" xfId="0" applyNumberFormat="1" applyFont="1" applyBorder="1" applyAlignment="1">
      <alignment horizontal="center"/>
    </xf>
    <xf numFmtId="196" fontId="23" fillId="0" borderId="0" xfId="0" applyNumberFormat="1" applyFont="1" applyAlignment="1">
      <alignment horizontal="right"/>
    </xf>
    <xf numFmtId="196" fontId="23" fillId="0" borderId="0" xfId="0" applyNumberFormat="1" applyFont="1" applyFill="1" applyBorder="1" applyAlignment="1">
      <alignment horizontal="right"/>
    </xf>
    <xf numFmtId="194" fontId="23" fillId="0" borderId="0" xfId="0" applyNumberFormat="1" applyFont="1" applyFill="1" applyBorder="1" applyAlignment="1">
      <alignment horizontal="right"/>
    </xf>
    <xf numFmtId="195" fontId="23" fillId="0" borderId="0" xfId="0" applyNumberFormat="1" applyFont="1" applyFill="1" applyBorder="1" applyAlignment="1">
      <alignment horizontal="center"/>
    </xf>
    <xf numFmtId="196" fontId="26" fillId="3" borderId="0" xfId="0" applyNumberFormat="1" applyFont="1" applyFill="1" applyBorder="1" applyAlignment="1">
      <alignment horizontal="right"/>
    </xf>
    <xf numFmtId="0" fontId="23" fillId="0" borderId="0" xfId="0" applyFont="1" applyFill="1"/>
    <xf numFmtId="0" fontId="23" fillId="0" borderId="0" xfId="0" applyFont="1" applyFill="1" applyAlignment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49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horizontal="left" wrapText="1"/>
    </xf>
    <xf numFmtId="164" fontId="5" fillId="7" borderId="0" xfId="0" applyNumberFormat="1" applyFont="1" applyFill="1" applyAlignment="1">
      <alignment horizontal="right"/>
    </xf>
    <xf numFmtId="164" fontId="5" fillId="7" borderId="0" xfId="0" applyNumberFormat="1" applyFont="1" applyFill="1" applyBorder="1" applyAlignment="1">
      <alignment horizontal="right"/>
    </xf>
    <xf numFmtId="0" fontId="5" fillId="7" borderId="0" xfId="0" applyFont="1" applyFill="1" applyAlignment="1">
      <alignment horizontal="center"/>
    </xf>
    <xf numFmtId="164" fontId="23" fillId="7" borderId="0" xfId="0" applyNumberFormat="1" applyFont="1" applyFill="1" applyAlignment="1">
      <alignment vertical="top"/>
    </xf>
    <xf numFmtId="164" fontId="29" fillId="7" borderId="16" xfId="0" applyNumberFormat="1" applyFont="1" applyFill="1" applyBorder="1" applyAlignment="1">
      <alignment vertical="top"/>
    </xf>
    <xf numFmtId="164" fontId="29" fillId="7" borderId="2" xfId="0" applyNumberFormat="1" applyFont="1" applyFill="1" applyBorder="1" applyAlignment="1">
      <alignment horizontal="right" vertical="top"/>
    </xf>
    <xf numFmtId="0" fontId="16" fillId="0" borderId="0" xfId="0" applyFont="1" applyBorder="1"/>
    <xf numFmtId="0" fontId="33" fillId="16" borderId="4" xfId="0" applyFont="1" applyFill="1" applyBorder="1"/>
    <xf numFmtId="0" fontId="33" fillId="16" borderId="14" xfId="0" applyFont="1" applyFill="1" applyBorder="1"/>
    <xf numFmtId="0" fontId="33" fillId="16" borderId="6" xfId="0" applyFont="1" applyFill="1" applyBorder="1"/>
    <xf numFmtId="175" fontId="33" fillId="16" borderId="7" xfId="0" applyNumberFormat="1" applyFont="1" applyFill="1" applyBorder="1"/>
    <xf numFmtId="182" fontId="33" fillId="16" borderId="7" xfId="0" applyNumberFormat="1" applyFont="1" applyFill="1" applyBorder="1"/>
    <xf numFmtId="180" fontId="33" fillId="16" borderId="7" xfId="0" applyNumberFormat="1" applyFont="1" applyFill="1" applyBorder="1"/>
    <xf numFmtId="0" fontId="29" fillId="16" borderId="3" xfId="0" applyFont="1" applyFill="1" applyBorder="1" applyAlignment="1">
      <alignment horizontal="right"/>
    </xf>
    <xf numFmtId="183" fontId="33" fillId="16" borderId="7" xfId="0" applyNumberFormat="1" applyFont="1" applyFill="1" applyBorder="1"/>
    <xf numFmtId="197" fontId="33" fillId="16" borderId="7" xfId="0" applyNumberFormat="1" applyFont="1" applyFill="1" applyBorder="1"/>
    <xf numFmtId="173" fontId="33" fillId="16" borderId="7" xfId="0" applyNumberFormat="1" applyFont="1" applyFill="1" applyBorder="1"/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0" fillId="0" borderId="14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9" xfId="0" applyFont="1" applyBorder="1" applyAlignment="1">
      <alignment wrapText="1"/>
    </xf>
    <xf numFmtId="0" fontId="23" fillId="14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196" fontId="26" fillId="3" borderId="11" xfId="0" applyNumberFormat="1" applyFont="1" applyFill="1" applyBorder="1" applyAlignment="1">
      <alignment horizontal="right"/>
    </xf>
    <xf numFmtId="196" fontId="26" fillId="3" borderId="13" xfId="0" applyNumberFormat="1" applyFont="1" applyFill="1" applyBorder="1" applyAlignment="1">
      <alignment horizontal="right"/>
    </xf>
    <xf numFmtId="196" fontId="26" fillId="3" borderId="3" xfId="0" applyNumberFormat="1" applyFont="1" applyFill="1" applyBorder="1" applyAlignment="1">
      <alignment horizontal="right"/>
    </xf>
    <xf numFmtId="196" fontId="24" fillId="3" borderId="3" xfId="0" applyNumberFormat="1" applyFont="1" applyFill="1" applyBorder="1" applyAlignment="1">
      <alignment horizontal="right"/>
    </xf>
    <xf numFmtId="199" fontId="23" fillId="0" borderId="0" xfId="0" applyNumberFormat="1" applyFont="1" applyBorder="1" applyAlignment="1">
      <alignment horizontal="right"/>
    </xf>
    <xf numFmtId="198" fontId="23" fillId="0" borderId="0" xfId="0" applyNumberFormat="1" applyFont="1" applyBorder="1" applyAlignment="1">
      <alignment horizontal="right"/>
    </xf>
    <xf numFmtId="198" fontId="26" fillId="3" borderId="3" xfId="0" applyNumberFormat="1" applyFont="1" applyFill="1" applyBorder="1" applyAlignment="1">
      <alignment horizontal="right"/>
    </xf>
    <xf numFmtId="0" fontId="23" fillId="14" borderId="4" xfId="0" applyFont="1" applyFill="1" applyBorder="1" applyAlignment="1">
      <alignment horizontal="center" vertical="top" wrapText="1"/>
    </xf>
    <xf numFmtId="0" fontId="23" fillId="14" borderId="10" xfId="0" applyFont="1" applyFill="1" applyBorder="1" applyAlignment="1">
      <alignment horizontal="center" vertical="top" wrapText="1"/>
    </xf>
    <xf numFmtId="0" fontId="23" fillId="14" borderId="10" xfId="0" applyFont="1" applyFill="1" applyBorder="1" applyAlignment="1">
      <alignment vertical="top"/>
    </xf>
    <xf numFmtId="164" fontId="23" fillId="14" borderId="10" xfId="0" applyNumberFormat="1" applyFont="1" applyFill="1" applyBorder="1" applyAlignment="1">
      <alignment horizontal="right" vertical="top"/>
    </xf>
    <xf numFmtId="0" fontId="23" fillId="14" borderId="6" xfId="0" applyFont="1" applyFill="1" applyBorder="1" applyAlignment="1">
      <alignment horizontal="center" vertical="top" wrapText="1"/>
    </xf>
    <xf numFmtId="0" fontId="23" fillId="14" borderId="0" xfId="0" applyFont="1" applyFill="1" applyBorder="1" applyAlignment="1">
      <alignment horizontal="center" vertical="top" wrapText="1"/>
    </xf>
    <xf numFmtId="0" fontId="23" fillId="14" borderId="0" xfId="0" applyFont="1" applyFill="1" applyBorder="1" applyAlignment="1">
      <alignment horizontal="center" vertical="top"/>
    </xf>
    <xf numFmtId="0" fontId="23" fillId="14" borderId="0" xfId="0" applyFont="1" applyFill="1" applyBorder="1" applyAlignment="1">
      <alignment vertical="top"/>
    </xf>
    <xf numFmtId="164" fontId="23" fillId="14" borderId="0" xfId="0" applyNumberFormat="1" applyFont="1" applyFill="1" applyBorder="1" applyAlignment="1">
      <alignment horizontal="right" vertical="top"/>
    </xf>
    <xf numFmtId="0" fontId="23" fillId="14" borderId="5" xfId="0" applyFont="1" applyFill="1" applyBorder="1" applyAlignment="1">
      <alignment horizontal="center" vertical="top" wrapText="1"/>
    </xf>
    <xf numFmtId="0" fontId="23" fillId="14" borderId="5" xfId="0" applyFont="1" applyFill="1" applyBorder="1" applyAlignment="1">
      <alignment vertical="top"/>
    </xf>
    <xf numFmtId="0" fontId="28" fillId="14" borderId="8" xfId="0" applyFont="1" applyFill="1" applyBorder="1" applyAlignment="1">
      <alignment horizontal="center" vertical="top" wrapText="1"/>
    </xf>
    <xf numFmtId="0" fontId="28" fillId="14" borderId="5" xfId="0" applyFont="1" applyFill="1" applyBorder="1" applyAlignment="1">
      <alignment horizontal="center" vertical="top"/>
    </xf>
    <xf numFmtId="164" fontId="28" fillId="14" borderId="5" xfId="0" applyNumberFormat="1" applyFont="1" applyFill="1" applyBorder="1" applyAlignment="1">
      <alignment horizontal="right" vertical="top"/>
    </xf>
    <xf numFmtId="164" fontId="23" fillId="7" borderId="7" xfId="0" applyNumberFormat="1" applyFont="1" applyFill="1" applyBorder="1" applyAlignment="1">
      <alignment vertical="top"/>
    </xf>
    <xf numFmtId="164" fontId="28" fillId="7" borderId="9" xfId="0" applyNumberFormat="1" applyFont="1" applyFill="1" applyBorder="1" applyAlignment="1">
      <alignment vertical="top"/>
    </xf>
    <xf numFmtId="0" fontId="0" fillId="7" borderId="0" xfId="0" applyFill="1"/>
    <xf numFmtId="1" fontId="0" fillId="0" borderId="10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0" borderId="6" xfId="0" applyNumberFormat="1" applyFill="1" applyBorder="1"/>
    <xf numFmtId="200" fontId="23" fillId="0" borderId="0" xfId="0" applyNumberFormat="1" applyFont="1" applyFill="1" applyBorder="1" applyAlignment="1">
      <alignment horizontal="right"/>
    </xf>
    <xf numFmtId="201" fontId="23" fillId="0" borderId="0" xfId="0" applyNumberFormat="1" applyFont="1" applyFill="1" applyBorder="1" applyAlignment="1">
      <alignment horizontal="right"/>
    </xf>
    <xf numFmtId="164" fontId="8" fillId="3" borderId="14" xfId="0" applyNumberFormat="1" applyFont="1" applyFill="1" applyBorder="1"/>
    <xf numFmtId="164" fontId="5" fillId="0" borderId="0" xfId="0" applyNumberFormat="1" applyFont="1" applyAlignment="1"/>
    <xf numFmtId="164" fontId="4" fillId="0" borderId="0" xfId="0" applyNumberFormat="1" applyFont="1" applyAlignment="1"/>
    <xf numFmtId="0" fontId="34" fillId="0" borderId="0" xfId="0" applyFont="1"/>
    <xf numFmtId="0" fontId="28" fillId="3" borderId="4" xfId="0" applyFont="1" applyFill="1" applyBorder="1" applyAlignment="1">
      <alignment horizontal="center" vertical="top"/>
    </xf>
    <xf numFmtId="0" fontId="28" fillId="3" borderId="10" xfId="0" applyFont="1" applyFill="1" applyBorder="1" applyAlignment="1">
      <alignment horizontal="center" vertical="top" wrapText="1"/>
    </xf>
    <xf numFmtId="0" fontId="28" fillId="3" borderId="10" xfId="0" applyFont="1" applyFill="1" applyBorder="1" applyAlignment="1">
      <alignment horizontal="center" vertical="top"/>
    </xf>
    <xf numFmtId="0" fontId="28" fillId="3" borderId="10" xfId="0" applyFont="1" applyFill="1" applyBorder="1" applyAlignment="1">
      <alignment vertical="top"/>
    </xf>
    <xf numFmtId="164" fontId="28" fillId="3" borderId="10" xfId="0" applyNumberFormat="1" applyFont="1" applyFill="1" applyBorder="1" applyAlignment="1">
      <alignment horizontal="right" vertical="top"/>
    </xf>
    <xf numFmtId="164" fontId="28" fillId="3" borderId="14" xfId="0" applyNumberFormat="1" applyFont="1" applyFill="1" applyBorder="1" applyAlignment="1">
      <alignment vertical="top"/>
    </xf>
    <xf numFmtId="0" fontId="28" fillId="3" borderId="6" xfId="0" applyFont="1" applyFill="1" applyBorder="1" applyAlignment="1">
      <alignment horizontal="center" vertical="top"/>
    </xf>
    <xf numFmtId="0" fontId="28" fillId="3" borderId="0" xfId="0" applyFont="1" applyFill="1" applyBorder="1" applyAlignment="1">
      <alignment horizontal="center" vertical="top" wrapText="1"/>
    </xf>
    <xf numFmtId="0" fontId="28" fillId="3" borderId="0" xfId="0" applyFont="1" applyFill="1" applyBorder="1" applyAlignment="1">
      <alignment horizontal="center" vertical="top"/>
    </xf>
    <xf numFmtId="0" fontId="28" fillId="3" borderId="0" xfId="0" applyFont="1" applyFill="1" applyBorder="1" applyAlignment="1">
      <alignment vertical="top"/>
    </xf>
    <xf numFmtId="164" fontId="28" fillId="3" borderId="0" xfId="0" applyNumberFormat="1" applyFont="1" applyFill="1" applyBorder="1" applyAlignment="1">
      <alignment horizontal="right" vertical="top"/>
    </xf>
    <xf numFmtId="164" fontId="28" fillId="3" borderId="7" xfId="0" applyNumberFormat="1" applyFont="1" applyFill="1" applyBorder="1" applyAlignment="1">
      <alignment vertical="top"/>
    </xf>
    <xf numFmtId="0" fontId="28" fillId="7" borderId="0" xfId="0" applyFont="1" applyFill="1" applyBorder="1" applyAlignment="1">
      <alignment horizontal="center" vertical="top" wrapText="1"/>
    </xf>
    <xf numFmtId="0" fontId="28" fillId="3" borderId="8" xfId="0" applyFont="1" applyFill="1" applyBorder="1" applyAlignment="1">
      <alignment horizontal="center" vertical="top"/>
    </xf>
    <xf numFmtId="0" fontId="28" fillId="3" borderId="5" xfId="0" applyFont="1" applyFill="1" applyBorder="1" applyAlignment="1">
      <alignment horizontal="center" vertical="top" wrapText="1"/>
    </xf>
    <xf numFmtId="0" fontId="28" fillId="3" borderId="5" xfId="0" applyFont="1" applyFill="1" applyBorder="1" applyAlignment="1">
      <alignment horizontal="center" vertical="top"/>
    </xf>
    <xf numFmtId="0" fontId="28" fillId="3" borderId="5" xfId="0" applyFont="1" applyFill="1" applyBorder="1" applyAlignment="1">
      <alignment vertical="top"/>
    </xf>
    <xf numFmtId="164" fontId="28" fillId="3" borderId="5" xfId="0" applyNumberFormat="1" applyFont="1" applyFill="1" applyBorder="1" applyAlignment="1">
      <alignment horizontal="right" vertical="top"/>
    </xf>
    <xf numFmtId="164" fontId="28" fillId="3" borderId="9" xfId="0" applyNumberFormat="1" applyFont="1" applyFill="1" applyBorder="1" applyAlignment="1">
      <alignment vertical="top"/>
    </xf>
    <xf numFmtId="0" fontId="28" fillId="3" borderId="1" xfId="0" applyFont="1" applyFill="1" applyBorder="1" applyAlignment="1">
      <alignment horizontal="center" vertical="top"/>
    </xf>
    <xf numFmtId="0" fontId="28" fillId="3" borderId="2" xfId="0" applyFont="1" applyFill="1" applyBorder="1" applyAlignment="1">
      <alignment horizontal="center" vertical="top" wrapText="1"/>
    </xf>
    <xf numFmtId="0" fontId="28" fillId="3" borderId="2" xfId="0" applyFont="1" applyFill="1" applyBorder="1" applyAlignment="1">
      <alignment horizontal="center" vertical="top"/>
    </xf>
    <xf numFmtId="0" fontId="28" fillId="3" borderId="2" xfId="0" applyFont="1" applyFill="1" applyBorder="1" applyAlignment="1">
      <alignment vertical="top"/>
    </xf>
    <xf numFmtId="164" fontId="28" fillId="3" borderId="2" xfId="0" applyNumberFormat="1" applyFont="1" applyFill="1" applyBorder="1" applyAlignment="1">
      <alignment horizontal="right" vertical="top"/>
    </xf>
    <xf numFmtId="164" fontId="28" fillId="3" borderId="16" xfId="0" applyNumberFormat="1" applyFont="1" applyFill="1" applyBorder="1" applyAlignment="1">
      <alignment vertical="top"/>
    </xf>
    <xf numFmtId="164" fontId="23" fillId="5" borderId="14" xfId="0" applyNumberFormat="1" applyFont="1" applyFill="1" applyBorder="1" applyAlignment="1">
      <alignment vertical="top"/>
    </xf>
    <xf numFmtId="17" fontId="28" fillId="0" borderId="0" xfId="0" applyNumberFormat="1" applyFont="1" applyAlignment="1">
      <alignment horizontal="center" vertical="top" wrapText="1"/>
    </xf>
    <xf numFmtId="164" fontId="0" fillId="0" borderId="0" xfId="0" applyNumberFormat="1" applyFill="1" applyBorder="1"/>
    <xf numFmtId="0" fontId="28" fillId="3" borderId="4" xfId="0" applyFont="1" applyFill="1" applyBorder="1" applyAlignment="1">
      <alignment horizontal="center" vertical="top" wrapText="1"/>
    </xf>
    <xf numFmtId="164" fontId="23" fillId="3" borderId="10" xfId="0" applyNumberFormat="1" applyFont="1" applyFill="1" applyBorder="1" applyAlignment="1">
      <alignment horizontal="right" vertical="top"/>
    </xf>
    <xf numFmtId="0" fontId="28" fillId="3" borderId="6" xfId="0" applyFont="1" applyFill="1" applyBorder="1" applyAlignment="1">
      <alignment horizontal="center" vertical="top" wrapText="1"/>
    </xf>
    <xf numFmtId="0" fontId="28" fillId="3" borderId="8" xfId="0" applyFont="1" applyFill="1" applyBorder="1" applyAlignment="1">
      <alignment horizontal="center" vertical="top" wrapText="1"/>
    </xf>
    <xf numFmtId="164" fontId="23" fillId="3" borderId="0" xfId="0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0" fillId="0" borderId="5" xfId="0" applyNumberFormat="1" applyBorder="1" applyAlignment="1">
      <alignment wrapText="1"/>
    </xf>
    <xf numFmtId="164" fontId="4" fillId="0" borderId="9" xfId="0" applyNumberFormat="1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7" xfId="0" applyBorder="1" applyAlignment="1">
      <alignment horizontal="center" wrapText="1"/>
    </xf>
    <xf numFmtId="164" fontId="0" fillId="0" borderId="17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4" fillId="10" borderId="18" xfId="0" applyFont="1" applyFill="1" applyBorder="1" applyAlignment="1">
      <alignment horizontal="center" vertical="top" wrapText="1"/>
    </xf>
    <xf numFmtId="164" fontId="4" fillId="10" borderId="19" xfId="0" applyNumberFormat="1" applyFont="1" applyFill="1" applyBorder="1" applyAlignment="1">
      <alignment horizontal="center" vertical="top" wrapText="1"/>
    </xf>
    <xf numFmtId="0" fontId="4" fillId="10" borderId="20" xfId="0" applyFont="1" applyFill="1" applyBorder="1" applyAlignment="1">
      <alignment horizontal="center" vertical="top" wrapText="1"/>
    </xf>
    <xf numFmtId="0" fontId="4" fillId="10" borderId="21" xfId="0" applyFont="1" applyFill="1" applyBorder="1" applyAlignment="1">
      <alignment horizontal="center" vertical="top" wrapText="1"/>
    </xf>
    <xf numFmtId="0" fontId="5" fillId="10" borderId="22" xfId="0" applyFont="1" applyFill="1" applyBorder="1" applyAlignment="1">
      <alignment horizontal="center" vertical="top" wrapText="1"/>
    </xf>
    <xf numFmtId="164" fontId="4" fillId="10" borderId="23" xfId="0" applyNumberFormat="1" applyFont="1" applyFill="1" applyBorder="1" applyAlignment="1">
      <alignment horizontal="center" vertical="top" wrapText="1"/>
    </xf>
    <xf numFmtId="164" fontId="5" fillId="10" borderId="24" xfId="0" applyNumberFormat="1" applyFont="1" applyFill="1" applyBorder="1" applyAlignment="1">
      <alignment vertical="top" wrapText="1"/>
    </xf>
    <xf numFmtId="0" fontId="4" fillId="10" borderId="24" xfId="0" applyFont="1" applyFill="1" applyBorder="1" applyAlignment="1">
      <alignment horizontal="center" vertical="top" wrapText="1"/>
    </xf>
    <xf numFmtId="0" fontId="4" fillId="10" borderId="25" xfId="0" applyFont="1" applyFill="1" applyBorder="1" applyAlignment="1">
      <alignment horizontal="center" vertical="top" wrapText="1"/>
    </xf>
    <xf numFmtId="0" fontId="4" fillId="10" borderId="9" xfId="0" applyFont="1" applyFill="1" applyBorder="1" applyAlignment="1">
      <alignment horizontal="center" vertical="top" wrapText="1"/>
    </xf>
    <xf numFmtId="164" fontId="4" fillId="0" borderId="26" xfId="0" applyNumberFormat="1" applyFont="1" applyBorder="1" applyAlignment="1">
      <alignment horizontal="center" vertical="top" wrapText="1"/>
    </xf>
    <xf numFmtId="202" fontId="36" fillId="0" borderId="26" xfId="0" applyNumberFormat="1" applyFont="1" applyBorder="1" applyAlignment="1">
      <alignment horizontal="center" vertical="top" wrapText="1"/>
    </xf>
    <xf numFmtId="202" fontId="36" fillId="0" borderId="16" xfId="0" applyNumberFormat="1" applyFont="1" applyBorder="1" applyAlignment="1">
      <alignment horizontal="center" vertical="top" wrapText="1"/>
    </xf>
    <xf numFmtId="164" fontId="4" fillId="0" borderId="23" xfId="0" applyNumberFormat="1" applyFont="1" applyBorder="1" applyAlignment="1">
      <alignment horizontal="center" vertical="top" wrapText="1"/>
    </xf>
    <xf numFmtId="202" fontId="21" fillId="0" borderId="23" xfId="0" applyNumberFormat="1" applyFont="1" applyBorder="1" applyAlignment="1">
      <alignment horizontal="center" vertical="top" wrapText="1"/>
    </xf>
    <xf numFmtId="202" fontId="21" fillId="0" borderId="7" xfId="0" applyNumberFormat="1" applyFont="1" applyBorder="1" applyAlignment="1">
      <alignment horizontal="center" vertical="top" wrapText="1"/>
    </xf>
    <xf numFmtId="0" fontId="35" fillId="0" borderId="27" xfId="0" applyFont="1" applyBorder="1" applyAlignment="1">
      <alignment horizontal="justify" vertical="top" wrapText="1"/>
    </xf>
    <xf numFmtId="0" fontId="35" fillId="0" borderId="28" xfId="0" applyFont="1" applyBorder="1" applyAlignment="1">
      <alignment horizontal="justify" vertical="top" wrapText="1"/>
    </xf>
    <xf numFmtId="164" fontId="35" fillId="0" borderId="23" xfId="0" applyNumberFormat="1" applyFont="1" applyBorder="1" applyAlignment="1">
      <alignment horizontal="center" vertical="top" wrapText="1"/>
    </xf>
    <xf numFmtId="202" fontId="37" fillId="0" borderId="23" xfId="0" applyNumberFormat="1" applyFont="1" applyBorder="1" applyAlignment="1">
      <alignment horizontal="center" vertical="top" wrapText="1"/>
    </xf>
    <xf numFmtId="202" fontId="37" fillId="0" borderId="7" xfId="0" applyNumberFormat="1" applyFont="1" applyBorder="1" applyAlignment="1">
      <alignment horizontal="center" vertical="top" wrapText="1"/>
    </xf>
    <xf numFmtId="0" fontId="35" fillId="0" borderId="29" xfId="0" applyFont="1" applyBorder="1" applyAlignment="1">
      <alignment horizontal="justify" vertical="top" wrapText="1"/>
    </xf>
    <xf numFmtId="0" fontId="35" fillId="0" borderId="7" xfId="0" applyFont="1" applyBorder="1" applyAlignment="1">
      <alignment horizontal="justify" vertical="top" wrapText="1"/>
    </xf>
    <xf numFmtId="164" fontId="4" fillId="0" borderId="30" xfId="0" applyNumberFormat="1" applyFont="1" applyBorder="1" applyAlignment="1">
      <alignment horizontal="center" vertical="top" wrapText="1"/>
    </xf>
    <xf numFmtId="202" fontId="21" fillId="0" borderId="30" xfId="0" applyNumberFormat="1" applyFont="1" applyBorder="1" applyAlignment="1">
      <alignment horizontal="center" vertical="top" wrapText="1"/>
    </xf>
    <xf numFmtId="202" fontId="21" fillId="0" borderId="28" xfId="0" applyNumberFormat="1" applyFont="1" applyBorder="1" applyAlignment="1">
      <alignment horizontal="center" vertical="top" wrapText="1"/>
    </xf>
    <xf numFmtId="0" fontId="5" fillId="0" borderId="22" xfId="0" applyFont="1" applyBorder="1" applyAlignment="1">
      <alignment horizontal="left" vertical="top" wrapText="1"/>
    </xf>
    <xf numFmtId="164" fontId="35" fillId="0" borderId="31" xfId="0" applyNumberFormat="1" applyFont="1" applyBorder="1" applyAlignment="1">
      <alignment horizontal="center" vertical="top" wrapText="1"/>
    </xf>
    <xf numFmtId="202" fontId="37" fillId="0" borderId="31" xfId="0" applyNumberFormat="1" applyFont="1" applyBorder="1" applyAlignment="1">
      <alignment horizontal="center" vertical="top" wrapText="1"/>
    </xf>
    <xf numFmtId="202" fontId="37" fillId="0" borderId="32" xfId="0" applyNumberFormat="1" applyFont="1" applyBorder="1" applyAlignment="1">
      <alignment horizontal="center" vertical="top" wrapText="1"/>
    </xf>
    <xf numFmtId="0" fontId="35" fillId="0" borderId="33" xfId="0" applyFont="1" applyBorder="1" applyAlignment="1">
      <alignment horizontal="justify" vertical="top" wrapText="1"/>
    </xf>
    <xf numFmtId="0" fontId="35" fillId="0" borderId="34" xfId="0" applyFont="1" applyBorder="1" applyAlignment="1">
      <alignment horizontal="justify" vertical="top" wrapText="1"/>
    </xf>
    <xf numFmtId="164" fontId="35" fillId="0" borderId="35" xfId="0" applyNumberFormat="1" applyFont="1" applyBorder="1" applyAlignment="1">
      <alignment horizontal="center" vertical="top" wrapText="1"/>
    </xf>
    <xf numFmtId="202" fontId="37" fillId="0" borderId="35" xfId="0" applyNumberFormat="1" applyFont="1" applyBorder="1" applyAlignment="1">
      <alignment horizontal="center" vertical="top" wrapText="1"/>
    </xf>
    <xf numFmtId="202" fontId="37" fillId="0" borderId="36" xfId="0" applyNumberFormat="1" applyFont="1" applyBorder="1" applyAlignment="1">
      <alignment horizontal="center" vertical="top" wrapText="1"/>
    </xf>
    <xf numFmtId="0" fontId="35" fillId="0" borderId="37" xfId="0" applyFont="1" applyBorder="1" applyAlignment="1">
      <alignment horizontal="justify" vertical="top" wrapText="1"/>
    </xf>
    <xf numFmtId="0" fontId="35" fillId="0" borderId="38" xfId="0" applyFont="1" applyBorder="1" applyAlignment="1">
      <alignment horizontal="justify" vertical="top" wrapText="1"/>
    </xf>
    <xf numFmtId="0" fontId="35" fillId="0" borderId="39" xfId="0" applyFont="1" applyBorder="1" applyAlignment="1">
      <alignment horizontal="justify" vertical="top" wrapText="1"/>
    </xf>
    <xf numFmtId="164" fontId="4" fillId="0" borderId="40" xfId="0" applyNumberFormat="1" applyFont="1" applyFill="1" applyBorder="1" applyAlignment="1">
      <alignment horizontal="center" vertical="top" wrapText="1"/>
    </xf>
    <xf numFmtId="202" fontId="21" fillId="0" borderId="40" xfId="0" applyNumberFormat="1" applyFont="1" applyBorder="1" applyAlignment="1">
      <alignment horizontal="center" vertical="top" wrapText="1"/>
    </xf>
    <xf numFmtId="0" fontId="35" fillId="0" borderId="41" xfId="0" applyFont="1" applyBorder="1" applyAlignment="1">
      <alignment horizontal="justify" vertical="top" wrapText="1"/>
    </xf>
    <xf numFmtId="0" fontId="35" fillId="0" borderId="42" xfId="0" applyFont="1" applyBorder="1" applyAlignment="1">
      <alignment horizontal="justify" vertical="top" wrapText="1"/>
    </xf>
    <xf numFmtId="164" fontId="4" fillId="0" borderId="31" xfId="0" applyNumberFormat="1" applyFont="1" applyFill="1" applyBorder="1" applyAlignment="1">
      <alignment horizontal="center" vertical="top" wrapText="1"/>
    </xf>
    <xf numFmtId="202" fontId="21" fillId="0" borderId="31" xfId="0" applyNumberFormat="1" applyFont="1" applyBorder="1" applyAlignment="1">
      <alignment horizontal="center" vertical="top" wrapText="1"/>
    </xf>
    <xf numFmtId="202" fontId="21" fillId="0" borderId="32" xfId="0" applyNumberFormat="1" applyFont="1" applyBorder="1" applyAlignment="1">
      <alignment horizontal="center" vertical="top" wrapText="1"/>
    </xf>
    <xf numFmtId="164" fontId="4" fillId="0" borderId="35" xfId="0" applyNumberFormat="1" applyFont="1" applyFill="1" applyBorder="1" applyAlignment="1">
      <alignment horizontal="center" vertical="top" wrapText="1"/>
    </xf>
    <xf numFmtId="202" fontId="21" fillId="0" borderId="35" xfId="0" applyNumberFormat="1" applyFont="1" applyBorder="1" applyAlignment="1">
      <alignment horizontal="center" vertical="top" wrapText="1"/>
    </xf>
    <xf numFmtId="202" fontId="21" fillId="0" borderId="36" xfId="0" applyNumberFormat="1" applyFont="1" applyBorder="1" applyAlignment="1">
      <alignment horizontal="center" vertical="top" wrapText="1"/>
    </xf>
    <xf numFmtId="164" fontId="35" fillId="0" borderId="31" xfId="0" applyNumberFormat="1" applyFont="1" applyFill="1" applyBorder="1" applyAlignment="1">
      <alignment horizontal="center" vertical="top" wrapText="1"/>
    </xf>
    <xf numFmtId="164" fontId="35" fillId="0" borderId="35" xfId="0" applyNumberFormat="1" applyFont="1" applyFill="1" applyBorder="1" applyAlignment="1">
      <alignment horizontal="center" vertical="top" wrapText="1"/>
    </xf>
    <xf numFmtId="164" fontId="4" fillId="10" borderId="26" xfId="0" applyNumberFormat="1" applyFont="1" applyFill="1" applyBorder="1" applyAlignment="1">
      <alignment horizontal="center" vertical="top" wrapText="1"/>
    </xf>
    <xf numFmtId="202" fontId="21" fillId="10" borderId="26" xfId="0" applyNumberFormat="1" applyFont="1" applyFill="1" applyBorder="1" applyAlignment="1">
      <alignment horizontal="center" vertical="top" wrapText="1"/>
    </xf>
    <xf numFmtId="202" fontId="21" fillId="10" borderId="16" xfId="0" applyNumberFormat="1" applyFont="1" applyFill="1" applyBorder="1" applyAlignment="1">
      <alignment horizontal="center" vertical="top" wrapText="1"/>
    </xf>
    <xf numFmtId="0" fontId="35" fillId="0" borderId="43" xfId="0" applyFont="1" applyBorder="1" applyAlignment="1">
      <alignment horizontal="justify" vertical="top" wrapText="1"/>
    </xf>
    <xf numFmtId="0" fontId="35" fillId="0" borderId="16" xfId="0" applyFont="1" applyBorder="1" applyAlignment="1">
      <alignment horizontal="justify" vertical="top" wrapText="1"/>
    </xf>
    <xf numFmtId="202" fontId="4" fillId="0" borderId="0" xfId="0" applyNumberFormat="1" applyFont="1" applyAlignment="1"/>
    <xf numFmtId="202" fontId="5" fillId="0" borderId="0" xfId="0" applyNumberFormat="1" applyFont="1" applyAlignment="1"/>
    <xf numFmtId="0" fontId="5" fillId="0" borderId="0" xfId="0" applyFont="1" applyAlignment="1"/>
    <xf numFmtId="203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20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5" fillId="10" borderId="44" xfId="0" applyFont="1" applyFill="1" applyBorder="1" applyAlignment="1">
      <alignment horizontal="left" vertical="top" wrapText="1"/>
    </xf>
    <xf numFmtId="0" fontId="4" fillId="0" borderId="4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46" xfId="0" applyFont="1" applyBorder="1" applyAlignment="1">
      <alignment horizontal="left" vertical="top" wrapText="1"/>
    </xf>
    <xf numFmtId="0" fontId="5" fillId="0" borderId="47" xfId="0" applyFont="1" applyBorder="1" applyAlignment="1">
      <alignment horizontal="left" vertical="top" wrapText="1"/>
    </xf>
    <xf numFmtId="0" fontId="4" fillId="10" borderId="45" xfId="0" applyFont="1" applyFill="1" applyBorder="1" applyAlignment="1">
      <alignment horizontal="left" vertical="top" wrapText="1"/>
    </xf>
    <xf numFmtId="0" fontId="0" fillId="18" borderId="0" xfId="0" applyFill="1"/>
    <xf numFmtId="0" fontId="18" fillId="3" borderId="0" xfId="1" applyFill="1" applyAlignment="1" applyProtection="1">
      <alignment horizontal="center" vertical="top"/>
    </xf>
    <xf numFmtId="0" fontId="40" fillId="0" borderId="0" xfId="0" applyFont="1" applyAlignment="1">
      <alignment horizontal="left" wrapText="1"/>
    </xf>
    <xf numFmtId="0" fontId="0" fillId="18" borderId="0" xfId="0" applyFill="1" applyAlignment="1">
      <alignment wrapText="1"/>
    </xf>
    <xf numFmtId="164" fontId="28" fillId="19" borderId="0" xfId="0" applyNumberFormat="1" applyFont="1" applyFill="1" applyAlignment="1">
      <alignment vertical="top"/>
    </xf>
    <xf numFmtId="0" fontId="28" fillId="19" borderId="0" xfId="0" applyFont="1" applyFill="1" applyAlignment="1">
      <alignment horizontal="center" vertical="top" wrapText="1"/>
    </xf>
    <xf numFmtId="0" fontId="28" fillId="19" borderId="0" xfId="0" applyFont="1" applyFill="1" applyAlignment="1">
      <alignment horizontal="center" vertical="top"/>
    </xf>
    <xf numFmtId="0" fontId="28" fillId="19" borderId="0" xfId="0" applyFont="1" applyFill="1" applyAlignment="1">
      <alignment vertical="top"/>
    </xf>
    <xf numFmtId="164" fontId="28" fillId="19" borderId="0" xfId="0" applyNumberFormat="1" applyFont="1" applyFill="1" applyAlignment="1">
      <alignment horizontal="right" vertical="top"/>
    </xf>
    <xf numFmtId="0" fontId="41" fillId="0" borderId="0" xfId="0" applyFont="1" applyAlignment="1">
      <alignment vertical="top"/>
    </xf>
    <xf numFmtId="205" fontId="0" fillId="0" borderId="5" xfId="2" applyNumberFormat="1" applyFont="1" applyBorder="1" applyAlignment="1">
      <alignment horizontal="right"/>
    </xf>
    <xf numFmtId="205" fontId="0" fillId="0" borderId="0" xfId="2" applyNumberFormat="1" applyFont="1" applyBorder="1" applyAlignment="1">
      <alignment horizontal="right"/>
    </xf>
    <xf numFmtId="205" fontId="0" fillId="0" borderId="0" xfId="2" applyNumberFormat="1" applyFont="1" applyAlignment="1">
      <alignment horizontal="right"/>
    </xf>
    <xf numFmtId="205" fontId="0" fillId="0" borderId="0" xfId="2" applyNumberFormat="1" applyFont="1" applyFill="1" applyAlignment="1">
      <alignment horizontal="right"/>
    </xf>
    <xf numFmtId="0" fontId="0" fillId="20" borderId="0" xfId="0" applyFill="1"/>
    <xf numFmtId="0" fontId="0" fillId="21" borderId="0" xfId="0" applyFill="1"/>
    <xf numFmtId="205" fontId="0" fillId="20" borderId="0" xfId="0" applyNumberFormat="1" applyFill="1"/>
    <xf numFmtId="205" fontId="0" fillId="18" borderId="0" xfId="0" applyNumberFormat="1" applyFill="1"/>
    <xf numFmtId="206" fontId="0" fillId="0" borderId="0" xfId="0" applyNumberFormat="1"/>
    <xf numFmtId="176" fontId="0" fillId="0" borderId="0" xfId="0" applyNumberFormat="1"/>
    <xf numFmtId="207" fontId="0" fillId="0" borderId="0" xfId="0" applyNumberFormat="1"/>
    <xf numFmtId="208" fontId="0" fillId="0" borderId="0" xfId="0" applyNumberFormat="1"/>
    <xf numFmtId="209" fontId="0" fillId="0" borderId="0" xfId="0" applyNumberFormat="1"/>
    <xf numFmtId="0" fontId="0" fillId="22" borderId="0" xfId="0" applyFill="1"/>
    <xf numFmtId="0" fontId="40" fillId="0" borderId="0" xfId="0" applyFont="1" applyAlignment="1">
      <alignment horizontal="right"/>
    </xf>
    <xf numFmtId="205" fontId="0" fillId="0" borderId="0" xfId="0" applyNumberFormat="1" applyAlignment="1">
      <alignment horizontal="right"/>
    </xf>
    <xf numFmtId="205" fontId="40" fillId="0" borderId="0" xfId="0" applyNumberFormat="1" applyFont="1" applyAlignment="1">
      <alignment horizontal="right"/>
    </xf>
    <xf numFmtId="44" fontId="0" fillId="0" borderId="5" xfId="2" applyFont="1" applyBorder="1"/>
    <xf numFmtId="44" fontId="0" fillId="0" borderId="0" xfId="2" applyFont="1" applyBorder="1"/>
    <xf numFmtId="44" fontId="0" fillId="0" borderId="0" xfId="2" applyFont="1"/>
    <xf numFmtId="44" fontId="0" fillId="0" borderId="0" xfId="2" applyFont="1" applyFill="1"/>
    <xf numFmtId="44" fontId="0" fillId="0" borderId="0" xfId="2" applyFont="1" applyFill="1" applyAlignment="1">
      <alignment horizontal="right"/>
    </xf>
    <xf numFmtId="44" fontId="0" fillId="0" borderId="0" xfId="2" applyFont="1" applyAlignment="1">
      <alignment horizontal="right"/>
    </xf>
    <xf numFmtId="0" fontId="0" fillId="0" borderId="0" xfId="0" applyBorder="1" applyAlignment="1">
      <alignment horizontal="right"/>
    </xf>
    <xf numFmtId="210" fontId="0" fillId="0" borderId="0" xfId="0" applyNumberFormat="1" applyBorder="1"/>
    <xf numFmtId="210" fontId="0" fillId="0" borderId="0" xfId="0" applyNumberFormat="1" applyBorder="1" applyAlignment="1">
      <alignment horizontal="center"/>
    </xf>
    <xf numFmtId="210" fontId="40" fillId="0" borderId="0" xfId="0" applyNumberFormat="1" applyFont="1" applyBorder="1" applyAlignment="1">
      <alignment horizontal="center"/>
    </xf>
    <xf numFmtId="0" fontId="40" fillId="0" borderId="0" xfId="0" applyFont="1" applyBorder="1" applyAlignment="1"/>
    <xf numFmtId="0" fontId="40" fillId="0" borderId="0" xfId="0" applyFont="1" applyBorder="1" applyAlignment="1">
      <alignment horizontal="center"/>
    </xf>
    <xf numFmtId="210" fontId="0" fillId="0" borderId="0" xfId="0" applyNumberFormat="1" applyBorder="1" applyAlignment="1">
      <alignment horizontal="right"/>
    </xf>
    <xf numFmtId="210" fontId="40" fillId="0" borderId="0" xfId="0" applyNumberFormat="1" applyFont="1" applyBorder="1"/>
    <xf numFmtId="2" fontId="40" fillId="0" borderId="0" xfId="0" applyNumberFormat="1" applyFont="1" applyBorder="1" applyAlignment="1"/>
    <xf numFmtId="2" fontId="0" fillId="0" borderId="0" xfId="0" applyNumberFormat="1" applyBorder="1"/>
    <xf numFmtId="2" fontId="40" fillId="0" borderId="0" xfId="0" applyNumberFormat="1" applyFont="1" applyBorder="1"/>
    <xf numFmtId="2" fontId="40" fillId="0" borderId="0" xfId="0" applyNumberFormat="1" applyFont="1" applyBorder="1" applyAlignment="1">
      <alignment horizontal="center"/>
    </xf>
    <xf numFmtId="210" fontId="40" fillId="0" borderId="1" xfId="0" applyNumberFormat="1" applyFont="1" applyBorder="1" applyAlignment="1">
      <alignment horizontal="right"/>
    </xf>
    <xf numFmtId="210" fontId="40" fillId="0" borderId="16" xfId="0" applyNumberFormat="1" applyFont="1" applyBorder="1"/>
    <xf numFmtId="211" fontId="0" fillId="0" borderId="0" xfId="0" applyNumberFormat="1"/>
    <xf numFmtId="205" fontId="0" fillId="0" borderId="0" xfId="0" applyNumberFormat="1"/>
    <xf numFmtId="205" fontId="0" fillId="0" borderId="10" xfId="0" applyNumberFormat="1" applyBorder="1"/>
    <xf numFmtId="205" fontId="0" fillId="0" borderId="14" xfId="0" applyNumberFormat="1" applyBorder="1"/>
    <xf numFmtId="211" fontId="0" fillId="0" borderId="0" xfId="0" applyNumberFormat="1" applyBorder="1"/>
    <xf numFmtId="205" fontId="0" fillId="0" borderId="0" xfId="0" applyNumberFormat="1" applyBorder="1"/>
    <xf numFmtId="205" fontId="0" fillId="0" borderId="7" xfId="0" applyNumberFormat="1" applyBorder="1"/>
    <xf numFmtId="211" fontId="0" fillId="0" borderId="5" xfId="0" applyNumberFormat="1" applyBorder="1"/>
    <xf numFmtId="205" fontId="0" fillId="0" borderId="5" xfId="0" applyNumberFormat="1" applyBorder="1"/>
    <xf numFmtId="205" fontId="0" fillId="0" borderId="9" xfId="0" applyNumberFormat="1" applyBorder="1"/>
    <xf numFmtId="0" fontId="40" fillId="0" borderId="4" xfId="0" applyFont="1" applyBorder="1"/>
    <xf numFmtId="0" fontId="40" fillId="0" borderId="3" xfId="0" applyFont="1" applyBorder="1"/>
    <xf numFmtId="205" fontId="40" fillId="0" borderId="1" xfId="0" applyNumberFormat="1" applyFont="1" applyBorder="1"/>
    <xf numFmtId="205" fontId="40" fillId="0" borderId="16" xfId="0" applyNumberFormat="1" applyFont="1" applyBorder="1"/>
    <xf numFmtId="211" fontId="0" fillId="0" borderId="10" xfId="0" applyNumberFormat="1" applyBorder="1"/>
    <xf numFmtId="205" fontId="46" fillId="18" borderId="1" xfId="0" applyNumberFormat="1" applyFont="1" applyFill="1" applyBorder="1"/>
    <xf numFmtId="205" fontId="46" fillId="18" borderId="16" xfId="0" applyNumberFormat="1" applyFont="1" applyFill="1" applyBorder="1"/>
    <xf numFmtId="0" fontId="47" fillId="18" borderId="3" xfId="0" applyFont="1" applyFill="1" applyBorder="1"/>
    <xf numFmtId="0" fontId="0" fillId="0" borderId="0" xfId="0" applyFill="1" applyBorder="1"/>
    <xf numFmtId="164" fontId="5" fillId="0" borderId="0" xfId="0" applyNumberFormat="1" applyFont="1" applyBorder="1" applyAlignment="1">
      <alignment horizontal="right"/>
    </xf>
    <xf numFmtId="2" fontId="0" fillId="23" borderId="0" xfId="0" applyNumberFormat="1" applyFill="1" applyBorder="1"/>
    <xf numFmtId="2" fontId="0" fillId="0" borderId="0" xfId="0" applyNumberFormat="1" applyFill="1" applyBorder="1"/>
    <xf numFmtId="0" fontId="0" fillId="0" borderId="5" xfId="0" applyBorder="1" applyAlignment="1">
      <alignment horizontal="right"/>
    </xf>
    <xf numFmtId="210" fontId="0" fillId="0" borderId="5" xfId="0" applyNumberFormat="1" applyBorder="1"/>
    <xf numFmtId="2" fontId="0" fillId="23" borderId="5" xfId="0" applyNumberFormat="1" applyFill="1" applyBorder="1"/>
    <xf numFmtId="200" fontId="23" fillId="0" borderId="5" xfId="0" applyNumberFormat="1" applyFont="1" applyFill="1" applyBorder="1" applyAlignment="1">
      <alignment horizontal="right"/>
    </xf>
    <xf numFmtId="201" fontId="23" fillId="0" borderId="5" xfId="0" applyNumberFormat="1" applyFont="1" applyFill="1" applyBorder="1" applyAlignment="1">
      <alignment horizontal="right"/>
    </xf>
    <xf numFmtId="2" fontId="0" fillId="0" borderId="5" xfId="0" applyNumberFormat="1" applyBorder="1"/>
    <xf numFmtId="0" fontId="0" fillId="17" borderId="0" xfId="0" applyFill="1" applyBorder="1" applyAlignment="1">
      <alignment wrapText="1"/>
    </xf>
    <xf numFmtId="0" fontId="0" fillId="0" borderId="48" xfId="0" applyBorder="1"/>
    <xf numFmtId="0" fontId="0" fillId="0" borderId="30" xfId="0" applyBorder="1"/>
    <xf numFmtId="0" fontId="0" fillId="0" borderId="49" xfId="0" applyBorder="1"/>
    <xf numFmtId="0" fontId="0" fillId="0" borderId="23" xfId="0" applyBorder="1"/>
    <xf numFmtId="0" fontId="0" fillId="0" borderId="50" xfId="0" applyBorder="1"/>
    <xf numFmtId="0" fontId="0" fillId="0" borderId="51" xfId="0" applyBorder="1"/>
    <xf numFmtId="0" fontId="0" fillId="23" borderId="49" xfId="0" applyFill="1" applyBorder="1"/>
    <xf numFmtId="0" fontId="0" fillId="0" borderId="49" xfId="0" applyFill="1" applyBorder="1"/>
    <xf numFmtId="0" fontId="47" fillId="18" borderId="0" xfId="0" applyFont="1" applyFill="1"/>
    <xf numFmtId="0" fontId="48" fillId="18" borderId="0" xfId="0" applyFont="1" applyFill="1" applyAlignment="1">
      <alignment horizontal="justify"/>
    </xf>
    <xf numFmtId="0" fontId="0" fillId="23" borderId="0" xfId="0" applyFill="1"/>
    <xf numFmtId="0" fontId="18" fillId="14" borderId="0" xfId="1" applyFill="1" applyAlignment="1" applyProtection="1">
      <alignment horizontal="center" vertical="top" wrapText="1"/>
    </xf>
    <xf numFmtId="0" fontId="0" fillId="18" borderId="6" xfId="0" applyFill="1" applyBorder="1"/>
    <xf numFmtId="176" fontId="0" fillId="0" borderId="0" xfId="0" applyNumberFormat="1" applyFont="1" applyAlignment="1">
      <alignment horizontal="right"/>
    </xf>
    <xf numFmtId="176" fontId="40" fillId="0" borderId="0" xfId="0" applyNumberFormat="1" applyFont="1" applyAlignment="1">
      <alignment horizontal="right"/>
    </xf>
    <xf numFmtId="212" fontId="0" fillId="0" borderId="0" xfId="0" applyNumberFormat="1" applyFont="1" applyAlignment="1">
      <alignment horizontal="right"/>
    </xf>
    <xf numFmtId="212" fontId="40" fillId="0" borderId="0" xfId="0" applyNumberFormat="1" applyFont="1" applyAlignment="1">
      <alignment horizontal="right"/>
    </xf>
    <xf numFmtId="205" fontId="0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205" fontId="0" fillId="0" borderId="0" xfId="0" applyNumberFormat="1" applyAlignment="1">
      <alignment vertical="center"/>
    </xf>
    <xf numFmtId="205" fontId="40" fillId="0" borderId="3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205" fontId="40" fillId="0" borderId="2" xfId="0" applyNumberFormat="1" applyFont="1" applyBorder="1" applyAlignment="1">
      <alignment vertical="center"/>
    </xf>
    <xf numFmtId="0" fontId="0" fillId="0" borderId="1" xfId="0" applyBorder="1"/>
    <xf numFmtId="176" fontId="40" fillId="0" borderId="2" xfId="0" applyNumberFormat="1" applyFont="1" applyBorder="1" applyAlignment="1">
      <alignment horizontal="right"/>
    </xf>
    <xf numFmtId="212" fontId="40" fillId="0" borderId="16" xfId="0" applyNumberFormat="1" applyFont="1" applyBorder="1" applyAlignment="1">
      <alignment horizontal="right"/>
    </xf>
    <xf numFmtId="0" fontId="44" fillId="0" borderId="0" xfId="0" applyFont="1"/>
    <xf numFmtId="0" fontId="40" fillId="0" borderId="0" xfId="0" applyFont="1"/>
    <xf numFmtId="164" fontId="5" fillId="0" borderId="0" xfId="0" applyNumberFormat="1" applyFont="1" applyFill="1" applyAlignment="1"/>
    <xf numFmtId="44" fontId="40" fillId="0" borderId="3" xfId="2" applyFont="1" applyBorder="1"/>
    <xf numFmtId="14" fontId="0" fillId="0" borderId="5" xfId="0" applyNumberFormat="1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164" fontId="0" fillId="0" borderId="52" xfId="0" applyNumberFormat="1" applyFont="1" applyBorder="1" applyAlignment="1">
      <alignment horizontal="right"/>
    </xf>
    <xf numFmtId="14" fontId="0" fillId="0" borderId="0" xfId="0" applyNumberFormat="1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4" fontId="0" fillId="0" borderId="31" xfId="0" applyNumberFormat="1" applyFont="1" applyBorder="1" applyAlignment="1">
      <alignment horizontal="right"/>
    </xf>
    <xf numFmtId="0" fontId="42" fillId="3" borderId="4" xfId="0" applyFont="1" applyFill="1" applyBorder="1" applyAlignment="1">
      <alignment horizontal="center"/>
    </xf>
    <xf numFmtId="0" fontId="43" fillId="3" borderId="10" xfId="0" applyFont="1" applyFill="1" applyBorder="1"/>
    <xf numFmtId="0" fontId="42" fillId="3" borderId="6" xfId="0" applyFont="1" applyFill="1" applyBorder="1" applyAlignment="1">
      <alignment horizontal="center"/>
    </xf>
    <xf numFmtId="0" fontId="43" fillId="3" borderId="0" xfId="0" applyFont="1" applyFill="1" applyBorder="1"/>
    <xf numFmtId="0" fontId="42" fillId="3" borderId="8" xfId="0" applyFont="1" applyFill="1" applyBorder="1" applyAlignment="1">
      <alignment horizontal="center"/>
    </xf>
    <xf numFmtId="0" fontId="43" fillId="3" borderId="5" xfId="0" applyFont="1" applyFill="1" applyBorder="1"/>
    <xf numFmtId="164" fontId="42" fillId="3" borderId="52" xfId="0" applyNumberFormat="1" applyFont="1" applyFill="1" applyBorder="1" applyAlignment="1">
      <alignment horizontal="right"/>
    </xf>
    <xf numFmtId="0" fontId="42" fillId="0" borderId="5" xfId="0" applyFont="1" applyBorder="1" applyAlignment="1">
      <alignment horizontal="center"/>
    </xf>
    <xf numFmtId="0" fontId="43" fillId="0" borderId="5" xfId="0" applyFont="1" applyBorder="1"/>
    <xf numFmtId="14" fontId="0" fillId="0" borderId="0" xfId="0" applyNumberFormat="1" applyFont="1" applyAlignment="1">
      <alignment horizontal="left" wrapText="1"/>
    </xf>
    <xf numFmtId="14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0" xfId="0" applyFont="1" applyFill="1" applyAlignment="1">
      <alignment horizontal="left" wrapText="1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64" fontId="0" fillId="0" borderId="31" xfId="0" applyNumberFormat="1" applyFont="1" applyFill="1" applyBorder="1" applyAlignment="1">
      <alignment horizontal="right"/>
    </xf>
    <xf numFmtId="0" fontId="0" fillId="18" borderId="0" xfId="0" applyFont="1" applyFill="1" applyAlignment="1">
      <alignment horizontal="left" wrapText="1"/>
    </xf>
    <xf numFmtId="14" fontId="0" fillId="18" borderId="0" xfId="0" applyNumberFormat="1" applyFont="1" applyFill="1" applyAlignment="1">
      <alignment horizontal="center"/>
    </xf>
    <xf numFmtId="0" fontId="40" fillId="18" borderId="0" xfId="0" applyFont="1" applyFill="1"/>
    <xf numFmtId="164" fontId="0" fillId="18" borderId="31" xfId="0" applyNumberFormat="1" applyFont="1" applyFill="1" applyBorder="1" applyAlignment="1">
      <alignment horizontal="right"/>
    </xf>
    <xf numFmtId="44" fontId="39" fillId="18" borderId="0" xfId="2" applyFont="1" applyFill="1"/>
    <xf numFmtId="205" fontId="39" fillId="18" borderId="0" xfId="2" applyNumberFormat="1" applyFont="1" applyFill="1" applyAlignment="1">
      <alignment horizontal="right"/>
    </xf>
    <xf numFmtId="0" fontId="0" fillId="18" borderId="0" xfId="0" applyFont="1" applyFill="1"/>
    <xf numFmtId="0" fontId="0" fillId="0" borderId="0" xfId="0" applyFont="1" applyAlignment="1">
      <alignment horizontal="center"/>
    </xf>
    <xf numFmtId="14" fontId="42" fillId="3" borderId="2" xfId="0" applyNumberFormat="1" applyFont="1" applyFill="1" applyBorder="1" applyAlignment="1">
      <alignment horizontal="left" wrapText="1"/>
    </xf>
    <xf numFmtId="49" fontId="42" fillId="3" borderId="2" xfId="0" applyNumberFormat="1" applyFont="1" applyFill="1" applyBorder="1" applyAlignment="1">
      <alignment horizontal="center"/>
    </xf>
    <xf numFmtId="0" fontId="42" fillId="3" borderId="2" xfId="0" applyFont="1" applyFill="1" applyBorder="1"/>
    <xf numFmtId="164" fontId="42" fillId="3" borderId="53" xfId="0" applyNumberFormat="1" applyFont="1" applyFill="1" applyBorder="1" applyAlignment="1">
      <alignment horizontal="right"/>
    </xf>
    <xf numFmtId="44" fontId="42" fillId="3" borderId="2" xfId="2" applyFont="1" applyFill="1" applyBorder="1"/>
    <xf numFmtId="205" fontId="42" fillId="3" borderId="2" xfId="2" applyNumberFormat="1" applyFont="1" applyFill="1" applyBorder="1" applyAlignment="1">
      <alignment horizontal="right"/>
    </xf>
    <xf numFmtId="212" fontId="0" fillId="18" borderId="0" xfId="0" applyNumberFormat="1" applyFont="1" applyFill="1" applyAlignment="1">
      <alignment horizontal="right"/>
    </xf>
    <xf numFmtId="176" fontId="0" fillId="18" borderId="0" xfId="0" applyNumberFormat="1" applyFont="1" applyFill="1" applyAlignment="1">
      <alignment horizontal="right"/>
    </xf>
    <xf numFmtId="44" fontId="40" fillId="0" borderId="0" xfId="2" applyFont="1"/>
    <xf numFmtId="176" fontId="0" fillId="0" borderId="0" xfId="0" applyNumberFormat="1" applyFont="1" applyBorder="1" applyAlignment="1">
      <alignment horizontal="right"/>
    </xf>
    <xf numFmtId="44" fontId="0" fillId="0" borderId="7" xfId="0" applyNumberFormat="1" applyBorder="1"/>
    <xf numFmtId="176" fontId="40" fillId="0" borderId="0" xfId="0" applyNumberFormat="1" applyFont="1" applyBorder="1" applyAlignment="1">
      <alignment horizontal="right"/>
    </xf>
    <xf numFmtId="44" fontId="40" fillId="0" borderId="7" xfId="0" applyNumberFormat="1" applyFont="1" applyBorder="1"/>
    <xf numFmtId="212" fontId="40" fillId="0" borderId="0" xfId="0" applyNumberFormat="1" applyFont="1" applyBorder="1" applyAlignment="1">
      <alignment horizontal="right"/>
    </xf>
    <xf numFmtId="0" fontId="40" fillId="0" borderId="10" xfId="0" applyFont="1" applyBorder="1"/>
    <xf numFmtId="0" fontId="40" fillId="0" borderId="14" xfId="0" applyFont="1" applyBorder="1"/>
    <xf numFmtId="212" fontId="0" fillId="0" borderId="0" xfId="0" applyNumberFormat="1" applyFont="1" applyBorder="1" applyAlignment="1">
      <alignment horizontal="right"/>
    </xf>
    <xf numFmtId="176" fontId="0" fillId="0" borderId="5" xfId="0" applyNumberFormat="1" applyFont="1" applyBorder="1" applyAlignment="1">
      <alignment horizontal="right"/>
    </xf>
    <xf numFmtId="212" fontId="0" fillId="0" borderId="5" xfId="0" applyNumberFormat="1" applyFont="1" applyBorder="1" applyAlignment="1">
      <alignment horizontal="right"/>
    </xf>
    <xf numFmtId="0" fontId="0" fillId="0" borderId="9" xfId="0" applyBorder="1"/>
    <xf numFmtId="164" fontId="5" fillId="22" borderId="0" xfId="0" applyNumberFormat="1" applyFont="1" applyFill="1" applyBorder="1" applyAlignment="1"/>
    <xf numFmtId="164" fontId="5" fillId="8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left" wrapText="1"/>
    </xf>
    <xf numFmtId="44" fontId="0" fillId="0" borderId="0" xfId="2" applyFont="1" applyFill="1" applyBorder="1"/>
    <xf numFmtId="205" fontId="0" fillId="0" borderId="0" xfId="2" applyNumberFormat="1" applyFont="1" applyFill="1" applyBorder="1" applyAlignment="1">
      <alignment horizontal="right"/>
    </xf>
    <xf numFmtId="0" fontId="0" fillId="0" borderId="0" xfId="0" applyFont="1" applyFill="1" applyBorder="1"/>
    <xf numFmtId="0" fontId="42" fillId="0" borderId="0" xfId="0" applyFont="1" applyFill="1" applyBorder="1" applyAlignment="1">
      <alignment horizontal="center"/>
    </xf>
    <xf numFmtId="0" fontId="43" fillId="0" borderId="0" xfId="0" applyFont="1" applyFill="1" applyBorder="1"/>
    <xf numFmtId="164" fontId="42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49" fillId="0" borderId="0" xfId="0" applyFont="1" applyFill="1"/>
    <xf numFmtId="0" fontId="12" fillId="0" borderId="17" xfId="0" applyFont="1" applyFill="1" applyBorder="1" applyAlignment="1"/>
    <xf numFmtId="0" fontId="14" fillId="0" borderId="17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17" xfId="0" applyFont="1" applyFill="1" applyBorder="1" applyAlignment="1">
      <alignment horizontal="center"/>
    </xf>
    <xf numFmtId="164" fontId="12" fillId="0" borderId="17" xfId="0" applyNumberFormat="1" applyFont="1" applyFill="1" applyBorder="1" applyAlignment="1"/>
    <xf numFmtId="0" fontId="13" fillId="0" borderId="17" xfId="0" applyFont="1" applyFill="1" applyBorder="1" applyAlignment="1">
      <alignment horizontal="left"/>
    </xf>
    <xf numFmtId="164" fontId="12" fillId="0" borderId="40" xfId="0" applyNumberFormat="1" applyFont="1" applyFill="1" applyBorder="1" applyAlignment="1"/>
    <xf numFmtId="164" fontId="4" fillId="0" borderId="3" xfId="0" applyNumberFormat="1" applyFont="1" applyFill="1" applyBorder="1"/>
    <xf numFmtId="0" fontId="28" fillId="23" borderId="0" xfId="0" applyFont="1" applyFill="1" applyAlignment="1">
      <alignment horizontal="center" vertical="top"/>
    </xf>
    <xf numFmtId="164" fontId="28" fillId="24" borderId="11" xfId="0" applyNumberFormat="1" applyFont="1" applyFill="1" applyBorder="1" applyAlignment="1">
      <alignment vertical="top"/>
    </xf>
    <xf numFmtId="164" fontId="28" fillId="24" borderId="12" xfId="0" applyNumberFormat="1" applyFont="1" applyFill="1" applyBorder="1" applyAlignment="1">
      <alignment vertical="top"/>
    </xf>
    <xf numFmtId="164" fontId="28" fillId="24" borderId="13" xfId="0" applyNumberFormat="1" applyFont="1" applyFill="1" applyBorder="1" applyAlignment="1">
      <alignment vertical="top"/>
    </xf>
    <xf numFmtId="176" fontId="40" fillId="24" borderId="2" xfId="0" applyNumberFormat="1" applyFont="1" applyFill="1" applyBorder="1" applyAlignment="1">
      <alignment horizontal="right"/>
    </xf>
    <xf numFmtId="176" fontId="40" fillId="24" borderId="16" xfId="0" applyNumberFormat="1" applyFont="1" applyFill="1" applyBorder="1" applyAlignment="1">
      <alignment horizontal="right"/>
    </xf>
    <xf numFmtId="205" fontId="40" fillId="24" borderId="2" xfId="0" applyNumberFormat="1" applyFont="1" applyFill="1" applyBorder="1" applyAlignment="1">
      <alignment vertical="center"/>
    </xf>
    <xf numFmtId="205" fontId="40" fillId="24" borderId="16" xfId="0" applyNumberFormat="1" applyFont="1" applyFill="1" applyBorder="1" applyAlignment="1">
      <alignment vertical="center"/>
    </xf>
    <xf numFmtId="212" fontId="40" fillId="24" borderId="16" xfId="0" applyNumberFormat="1" applyFont="1" applyFill="1" applyBorder="1" applyAlignment="1">
      <alignment horizontal="right"/>
    </xf>
    <xf numFmtId="0" fontId="40" fillId="0" borderId="51" xfId="0" applyFont="1" applyBorder="1"/>
    <xf numFmtId="205" fontId="40" fillId="0" borderId="1" xfId="0" applyNumberFormat="1" applyFont="1" applyBorder="1" applyAlignment="1">
      <alignment vertical="center"/>
    </xf>
    <xf numFmtId="0" fontId="12" fillId="18" borderId="17" xfId="0" applyFont="1" applyFill="1" applyBorder="1" applyAlignment="1">
      <alignment horizontal="center"/>
    </xf>
    <xf numFmtId="212" fontId="0" fillId="0" borderId="0" xfId="0" applyNumberFormat="1" applyAlignment="1">
      <alignment horizontal="right"/>
    </xf>
    <xf numFmtId="0" fontId="47" fillId="0" borderId="0" xfId="0" applyFont="1"/>
    <xf numFmtId="164" fontId="5" fillId="0" borderId="0" xfId="0" applyNumberFormat="1" applyFont="1" applyFill="1" applyBorder="1" applyAlignment="1"/>
    <xf numFmtId="164" fontId="40" fillId="0" borderId="0" xfId="0" applyNumberFormat="1" applyFont="1" applyAlignment="1">
      <alignment horizontal="right"/>
    </xf>
    <xf numFmtId="164" fontId="5" fillId="18" borderId="0" xfId="0" applyNumberFormat="1" applyFont="1" applyFill="1" applyAlignment="1">
      <alignment horizontal="right"/>
    </xf>
    <xf numFmtId="0" fontId="5" fillId="18" borderId="0" xfId="0" applyFont="1" applyFill="1" applyBorder="1" applyAlignment="1">
      <alignment horizontal="right"/>
    </xf>
    <xf numFmtId="0" fontId="0" fillId="22" borderId="0" xfId="0" applyFont="1" applyFill="1" applyAlignment="1">
      <alignment horizontal="left" wrapText="1"/>
    </xf>
    <xf numFmtId="14" fontId="0" fillId="22" borderId="0" xfId="0" applyNumberFormat="1" applyFont="1" applyFill="1" applyAlignment="1">
      <alignment horizontal="center"/>
    </xf>
    <xf numFmtId="0" fontId="0" fillId="22" borderId="0" xfId="0" applyFont="1" applyFill="1"/>
    <xf numFmtId="164" fontId="0" fillId="22" borderId="31" xfId="0" applyNumberFormat="1" applyFont="1" applyFill="1" applyBorder="1" applyAlignment="1">
      <alignment horizontal="right"/>
    </xf>
    <xf numFmtId="44" fontId="39" fillId="22" borderId="0" xfId="2" applyFont="1" applyFill="1" applyAlignment="1">
      <alignment horizontal="right"/>
    </xf>
    <xf numFmtId="213" fontId="23" fillId="0" borderId="0" xfId="0" applyNumberFormat="1" applyFont="1" applyAlignment="1">
      <alignment horizontal="right"/>
    </xf>
    <xf numFmtId="213" fontId="23" fillId="0" borderId="0" xfId="0" applyNumberFormat="1" applyFont="1" applyBorder="1" applyAlignment="1">
      <alignment horizontal="right"/>
    </xf>
    <xf numFmtId="214" fontId="23" fillId="0" borderId="0" xfId="0" applyNumberFormat="1" applyFont="1" applyBorder="1" applyAlignment="1">
      <alignment horizontal="center"/>
    </xf>
    <xf numFmtId="215" fontId="23" fillId="0" borderId="0" xfId="0" applyNumberFormat="1" applyFont="1" applyBorder="1" applyAlignment="1">
      <alignment horizontal="center"/>
    </xf>
    <xf numFmtId="216" fontId="23" fillId="0" borderId="0" xfId="0" applyNumberFormat="1" applyFont="1" applyBorder="1" applyAlignment="1">
      <alignment horizontal="center"/>
    </xf>
    <xf numFmtId="217" fontId="23" fillId="0" borderId="0" xfId="0" applyNumberFormat="1" applyFont="1" applyBorder="1" applyAlignment="1">
      <alignment horizontal="center"/>
    </xf>
    <xf numFmtId="213" fontId="41" fillId="0" borderId="0" xfId="0" applyNumberFormat="1" applyFont="1" applyAlignment="1">
      <alignment horizontal="right"/>
    </xf>
    <xf numFmtId="14" fontId="0" fillId="0" borderId="5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22" borderId="0" xfId="0" applyFont="1" applyFill="1" applyAlignment="1">
      <alignment horizontal="left"/>
    </xf>
    <xf numFmtId="14" fontId="42" fillId="3" borderId="1" xfId="0" applyNumberFormat="1" applyFont="1" applyFill="1" applyBorder="1" applyAlignment="1">
      <alignment horizontal="left"/>
    </xf>
    <xf numFmtId="44" fontId="39" fillId="0" borderId="0" xfId="2" applyFont="1" applyFill="1"/>
    <xf numFmtId="205" fontId="39" fillId="0" borderId="0" xfId="2" applyNumberFormat="1" applyFont="1" applyFill="1" applyAlignment="1">
      <alignment horizontal="right"/>
    </xf>
    <xf numFmtId="0" fontId="5" fillId="23" borderId="0" xfId="0" applyFont="1" applyFill="1" applyBorder="1" applyAlignment="1">
      <alignment horizontal="right"/>
    </xf>
    <xf numFmtId="164" fontId="5" fillId="23" borderId="0" xfId="0" applyNumberFormat="1" applyFont="1" applyFill="1" applyBorder="1" applyAlignment="1">
      <alignment horizontal="right"/>
    </xf>
    <xf numFmtId="164" fontId="5" fillId="23" borderId="0" xfId="0" applyNumberFormat="1" applyFont="1" applyFill="1" applyBorder="1" applyAlignment="1"/>
    <xf numFmtId="164" fontId="5" fillId="23" borderId="0" xfId="0" applyNumberFormat="1" applyFont="1" applyFill="1" applyAlignment="1">
      <alignment horizontal="right"/>
    </xf>
    <xf numFmtId="210" fontId="5" fillId="23" borderId="0" xfId="0" applyNumberFormat="1" applyFont="1" applyFill="1" applyAlignment="1">
      <alignment horizontal="center"/>
    </xf>
    <xf numFmtId="0" fontId="23" fillId="18" borderId="0" xfId="0" applyFont="1" applyFill="1"/>
    <xf numFmtId="218" fontId="23" fillId="0" borderId="0" xfId="0" applyNumberFormat="1" applyFont="1" applyBorder="1" applyAlignment="1">
      <alignment horizontal="center"/>
    </xf>
    <xf numFmtId="0" fontId="0" fillId="22" borderId="0" xfId="0" applyFill="1" applyAlignment="1">
      <alignment horizontal="left"/>
    </xf>
    <xf numFmtId="49" fontId="0" fillId="0" borderId="0" xfId="0" applyNumberFormat="1"/>
    <xf numFmtId="49" fontId="0" fillId="18" borderId="0" xfId="0" applyNumberFormat="1" applyFill="1"/>
    <xf numFmtId="164" fontId="46" fillId="0" borderId="0" xfId="0" applyNumberFormat="1" applyFont="1" applyFill="1" applyBorder="1" applyAlignment="1">
      <alignment horizontal="right"/>
    </xf>
    <xf numFmtId="44" fontId="39" fillId="22" borderId="0" xfId="2" applyFont="1" applyFill="1"/>
    <xf numFmtId="205" fontId="39" fillId="22" borderId="0" xfId="2" applyNumberFormat="1" applyFont="1" applyFill="1" applyAlignment="1">
      <alignment horizontal="right"/>
    </xf>
    <xf numFmtId="219" fontId="0" fillId="0" borderId="0" xfId="0" applyNumberFormat="1" applyAlignment="1">
      <alignment horizontal="center"/>
    </xf>
    <xf numFmtId="220" fontId="0" fillId="0" borderId="0" xfId="0" applyNumberFormat="1" applyAlignment="1">
      <alignment horizontal="center"/>
    </xf>
    <xf numFmtId="222" fontId="0" fillId="0" borderId="0" xfId="0" applyNumberFormat="1" applyAlignment="1">
      <alignment horizontal="center"/>
    </xf>
    <xf numFmtId="221" fontId="0" fillId="0" borderId="0" xfId="0" applyNumberFormat="1" applyAlignment="1">
      <alignment horizontal="center"/>
    </xf>
    <xf numFmtId="223" fontId="40" fillId="0" borderId="0" xfId="0" applyNumberFormat="1" applyFont="1" applyAlignment="1">
      <alignment horizontal="center"/>
    </xf>
    <xf numFmtId="224" fontId="0" fillId="0" borderId="0" xfId="0" applyNumberFormat="1" applyAlignment="1">
      <alignment horizontal="center"/>
    </xf>
    <xf numFmtId="224" fontId="0" fillId="0" borderId="0" xfId="0" applyNumberFormat="1" applyFill="1" applyAlignment="1">
      <alignment horizontal="center"/>
    </xf>
    <xf numFmtId="219" fontId="0" fillId="0" borderId="0" xfId="0" applyNumberFormat="1" applyFill="1" applyAlignment="1">
      <alignment horizontal="center"/>
    </xf>
    <xf numFmtId="220" fontId="0" fillId="0" borderId="0" xfId="0" applyNumberFormat="1" applyFill="1" applyAlignment="1">
      <alignment horizontal="center"/>
    </xf>
    <xf numFmtId="222" fontId="0" fillId="0" borderId="0" xfId="0" applyNumberFormat="1" applyFill="1" applyAlignment="1">
      <alignment horizontal="center"/>
    </xf>
    <xf numFmtId="221" fontId="0" fillId="0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219" fontId="0" fillId="18" borderId="0" xfId="0" applyNumberFormat="1" applyFill="1" applyAlignment="1">
      <alignment horizontal="center"/>
    </xf>
    <xf numFmtId="220" fontId="0" fillId="18" borderId="0" xfId="0" applyNumberFormat="1" applyFill="1" applyAlignment="1">
      <alignment horizontal="center"/>
    </xf>
    <xf numFmtId="222" fontId="0" fillId="18" borderId="0" xfId="0" applyNumberFormat="1" applyFill="1" applyAlignment="1">
      <alignment horizontal="center"/>
    </xf>
    <xf numFmtId="221" fontId="0" fillId="18" borderId="0" xfId="0" applyNumberFormat="1" applyFill="1" applyAlignment="1">
      <alignment horizontal="center"/>
    </xf>
    <xf numFmtId="224" fontId="0" fillId="18" borderId="0" xfId="0" applyNumberFormat="1" applyFill="1" applyAlignment="1">
      <alignment horizontal="center"/>
    </xf>
    <xf numFmtId="222" fontId="46" fillId="18" borderId="1" xfId="0" applyNumberFormat="1" applyFont="1" applyFill="1" applyBorder="1" applyAlignment="1">
      <alignment horizontal="center"/>
    </xf>
    <xf numFmtId="221" fontId="46" fillId="18" borderId="2" xfId="0" applyNumberFormat="1" applyFont="1" applyFill="1" applyBorder="1" applyAlignment="1">
      <alignment horizontal="center"/>
    </xf>
    <xf numFmtId="164" fontId="46" fillId="18" borderId="16" xfId="0" applyNumberFormat="1" applyFont="1" applyFill="1" applyBorder="1" applyAlignment="1">
      <alignment horizontal="center"/>
    </xf>
    <xf numFmtId="225" fontId="46" fillId="18" borderId="2" xfId="0" applyNumberFormat="1" applyFont="1" applyFill="1" applyBorder="1" applyAlignment="1">
      <alignment horizontal="center"/>
    </xf>
    <xf numFmtId="0" fontId="45" fillId="23" borderId="0" xfId="0" applyFont="1" applyFill="1" applyAlignment="1">
      <alignment horizontal="left"/>
    </xf>
    <xf numFmtId="0" fontId="45" fillId="23" borderId="0" xfId="0" applyFont="1" applyFill="1" applyAlignment="1">
      <alignment horizontal="left" wrapText="1"/>
    </xf>
    <xf numFmtId="0" fontId="45" fillId="23" borderId="0" xfId="0" applyFont="1" applyFill="1"/>
    <xf numFmtId="164" fontId="45" fillId="23" borderId="31" xfId="0" applyNumberFormat="1" applyFont="1" applyFill="1" applyBorder="1" applyAlignment="1">
      <alignment horizontal="right"/>
    </xf>
    <xf numFmtId="44" fontId="45" fillId="23" borderId="0" xfId="2" applyFont="1" applyFill="1"/>
    <xf numFmtId="205" fontId="45" fillId="23" borderId="0" xfId="2" applyNumberFormat="1" applyFont="1" applyFill="1" applyAlignment="1">
      <alignment horizontal="right"/>
    </xf>
    <xf numFmtId="164" fontId="42" fillId="3" borderId="14" xfId="0" applyNumberFormat="1" applyFont="1" applyFill="1" applyBorder="1" applyAlignment="1">
      <alignment horizontal="right"/>
    </xf>
    <xf numFmtId="164" fontId="42" fillId="3" borderId="7" xfId="0" applyNumberFormat="1" applyFont="1" applyFill="1" applyBorder="1" applyAlignment="1">
      <alignment horizontal="right"/>
    </xf>
    <xf numFmtId="164" fontId="42" fillId="3" borderId="9" xfId="0" applyNumberFormat="1" applyFont="1" applyFill="1" applyBorder="1" applyAlignment="1">
      <alignment horizontal="right"/>
    </xf>
    <xf numFmtId="0" fontId="50" fillId="21" borderId="0" xfId="0" applyFont="1" applyFill="1" applyBorder="1"/>
    <xf numFmtId="164" fontId="51" fillId="21" borderId="0" xfId="0" applyNumberFormat="1" applyFont="1" applyFill="1" applyBorder="1" applyAlignment="1">
      <alignment horizontal="right"/>
    </xf>
    <xf numFmtId="0" fontId="23" fillId="21" borderId="0" xfId="0" applyFont="1" applyFill="1" applyAlignment="1">
      <alignment horizontal="center"/>
    </xf>
    <xf numFmtId="170" fontId="23" fillId="0" borderId="0" xfId="0" applyNumberFormat="1" applyFont="1"/>
    <xf numFmtId="0" fontId="23" fillId="25" borderId="4" xfId="0" applyFont="1" applyFill="1" applyBorder="1"/>
    <xf numFmtId="2" fontId="23" fillId="25" borderId="14" xfId="0" applyNumberFormat="1" applyFont="1" applyFill="1" applyBorder="1"/>
    <xf numFmtId="0" fontId="23" fillId="25" borderId="6" xfId="0" applyFont="1" applyFill="1" applyBorder="1"/>
    <xf numFmtId="183" fontId="23" fillId="25" borderId="7" xfId="0" applyNumberFormat="1" applyFont="1" applyFill="1" applyBorder="1"/>
    <xf numFmtId="170" fontId="23" fillId="25" borderId="7" xfId="0" applyNumberFormat="1" applyFont="1" applyFill="1" applyBorder="1"/>
    <xf numFmtId="0" fontId="23" fillId="23" borderId="1" xfId="0" applyFont="1" applyFill="1" applyBorder="1"/>
    <xf numFmtId="226" fontId="23" fillId="23" borderId="16" xfId="0" applyNumberFormat="1" applyFont="1" applyFill="1" applyBorder="1"/>
    <xf numFmtId="0" fontId="47" fillId="0" borderId="0" xfId="0" applyFont="1" applyFill="1" applyBorder="1"/>
    <xf numFmtId="0" fontId="50" fillId="21" borderId="1" xfId="0" applyFont="1" applyFill="1" applyBorder="1"/>
    <xf numFmtId="0" fontId="50" fillId="21" borderId="2" xfId="0" applyFont="1" applyFill="1" applyBorder="1"/>
    <xf numFmtId="164" fontId="51" fillId="21" borderId="16" xfId="0" applyNumberFormat="1" applyFont="1" applyFill="1" applyBorder="1" applyAlignment="1">
      <alignment horizontal="right"/>
    </xf>
    <xf numFmtId="170" fontId="23" fillId="0" borderId="0" xfId="0" applyNumberFormat="1" applyFont="1" applyAlignment="1">
      <alignment horizontal="left"/>
    </xf>
    <xf numFmtId="227" fontId="23" fillId="0" borderId="0" xfId="0" applyNumberFormat="1" applyFont="1" applyAlignment="1">
      <alignment horizontal="center"/>
    </xf>
    <xf numFmtId="0" fontId="41" fillId="0" borderId="0" xfId="0" applyFont="1"/>
    <xf numFmtId="10" fontId="41" fillId="0" borderId="0" xfId="3" applyNumberFormat="1" applyFont="1"/>
    <xf numFmtId="14" fontId="42" fillId="0" borderId="0" xfId="0" applyNumberFormat="1" applyFont="1" applyFill="1" applyBorder="1" applyAlignment="1">
      <alignment horizontal="left"/>
    </xf>
    <xf numFmtId="14" fontId="42" fillId="0" borderId="0" xfId="0" applyNumberFormat="1" applyFont="1" applyFill="1" applyBorder="1" applyAlignment="1">
      <alignment horizontal="left" wrapText="1"/>
    </xf>
    <xf numFmtId="49" fontId="42" fillId="0" borderId="0" xfId="0" applyNumberFormat="1" applyFont="1" applyFill="1" applyBorder="1" applyAlignment="1">
      <alignment horizontal="center"/>
    </xf>
    <xf numFmtId="0" fontId="42" fillId="0" borderId="0" xfId="0" applyFont="1" applyFill="1" applyBorder="1"/>
    <xf numFmtId="164" fontId="42" fillId="0" borderId="31" xfId="0" applyNumberFormat="1" applyFont="1" applyFill="1" applyBorder="1" applyAlignment="1">
      <alignment horizontal="right"/>
    </xf>
    <xf numFmtId="44" fontId="42" fillId="0" borderId="0" xfId="2" applyFont="1" applyFill="1" applyBorder="1"/>
    <xf numFmtId="205" fontId="42" fillId="0" borderId="0" xfId="2" applyNumberFormat="1" applyFont="1" applyFill="1" applyBorder="1" applyAlignment="1">
      <alignment horizontal="right"/>
    </xf>
    <xf numFmtId="44" fontId="42" fillId="0" borderId="0" xfId="2" applyFont="1" applyFill="1" applyBorder="1" applyAlignment="1">
      <alignment horizontal="right"/>
    </xf>
    <xf numFmtId="44" fontId="42" fillId="3" borderId="2" xfId="2" applyFont="1" applyFill="1" applyBorder="1" applyAlignment="1">
      <alignment horizontal="right"/>
    </xf>
    <xf numFmtId="227" fontId="41" fillId="0" borderId="0" xfId="0" applyNumberFormat="1" applyFont="1" applyAlignment="1">
      <alignment horizontal="center"/>
    </xf>
    <xf numFmtId="0" fontId="24" fillId="3" borderId="0" xfId="0" applyFont="1" applyFill="1" applyBorder="1"/>
    <xf numFmtId="177" fontId="24" fillId="3" borderId="0" xfId="0" applyNumberFormat="1" applyFont="1" applyFill="1" applyBorder="1"/>
    <xf numFmtId="14" fontId="0" fillId="23" borderId="0" xfId="0" applyNumberFormat="1" applyFont="1" applyFill="1" applyAlignment="1">
      <alignment horizontal="center"/>
    </xf>
    <xf numFmtId="0" fontId="52" fillId="26" borderId="3" xfId="0" applyFont="1" applyFill="1" applyBorder="1" applyAlignment="1">
      <alignment horizontal="right"/>
    </xf>
    <xf numFmtId="0" fontId="53" fillId="26" borderId="4" xfId="0" applyFont="1" applyFill="1" applyBorder="1"/>
    <xf numFmtId="188" fontId="53" fillId="26" borderId="14" xfId="0" applyNumberFormat="1" applyFont="1" applyFill="1" applyBorder="1"/>
    <xf numFmtId="187" fontId="53" fillId="26" borderId="14" xfId="0" applyNumberFormat="1" applyFont="1" applyFill="1" applyBorder="1"/>
    <xf numFmtId="0" fontId="42" fillId="3" borderId="1" xfId="0" applyFont="1" applyFill="1" applyBorder="1" applyAlignment="1">
      <alignment horizontal="center"/>
    </xf>
    <xf numFmtId="0" fontId="43" fillId="3" borderId="2" xfId="0" applyFont="1" applyFill="1" applyBorder="1"/>
    <xf numFmtId="164" fontId="42" fillId="3" borderId="16" xfId="0" applyNumberFormat="1" applyFont="1" applyFill="1" applyBorder="1" applyAlignment="1">
      <alignment horizontal="right"/>
    </xf>
    <xf numFmtId="44" fontId="0" fillId="22" borderId="0" xfId="2" applyFont="1" applyFill="1"/>
    <xf numFmtId="205" fontId="0" fillId="22" borderId="0" xfId="2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4" fontId="0" fillId="0" borderId="31" xfId="0" applyNumberFormat="1" applyBorder="1" applyAlignment="1">
      <alignment horizontal="right"/>
    </xf>
    <xf numFmtId="0" fontId="23" fillId="0" borderId="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1" fontId="23" fillId="0" borderId="0" xfId="0" applyNumberFormat="1" applyFont="1" applyBorder="1"/>
    <xf numFmtId="1" fontId="23" fillId="0" borderId="7" xfId="0" applyNumberFormat="1" applyFont="1" applyBorder="1"/>
    <xf numFmtId="0" fontId="23" fillId="0" borderId="8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1" fontId="41" fillId="0" borderId="9" xfId="0" applyNumberFormat="1" applyFont="1" applyBorder="1"/>
    <xf numFmtId="0" fontId="41" fillId="0" borderId="5" xfId="0" applyFont="1" applyBorder="1"/>
    <xf numFmtId="205" fontId="39" fillId="22" borderId="0" xfId="2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left"/>
    </xf>
    <xf numFmtId="0" fontId="40" fillId="0" borderId="0" xfId="0" applyFont="1" applyAlignment="1">
      <alignment horizontal="center"/>
    </xf>
    <xf numFmtId="0" fontId="0" fillId="21" borderId="0" xfId="0" applyFont="1" applyFill="1"/>
    <xf numFmtId="0" fontId="0" fillId="21" borderId="0" xfId="0" applyFont="1" applyFill="1" applyAlignment="1">
      <alignment horizontal="center"/>
    </xf>
    <xf numFmtId="219" fontId="0" fillId="21" borderId="0" xfId="0" applyNumberFormat="1" applyFont="1" applyFill="1" applyAlignment="1">
      <alignment horizontal="center"/>
    </xf>
    <xf numFmtId="220" fontId="0" fillId="21" borderId="0" xfId="0" applyNumberFormat="1" applyFont="1" applyFill="1" applyAlignment="1">
      <alignment horizontal="center"/>
    </xf>
    <xf numFmtId="222" fontId="0" fillId="21" borderId="0" xfId="0" applyNumberFormat="1" applyFont="1" applyFill="1" applyAlignment="1">
      <alignment horizontal="center"/>
    </xf>
    <xf numFmtId="221" fontId="0" fillId="21" borderId="0" xfId="0" applyNumberFormat="1" applyFont="1" applyFill="1" applyAlignment="1">
      <alignment horizontal="center"/>
    </xf>
    <xf numFmtId="224" fontId="0" fillId="21" borderId="0" xfId="0" applyNumberFormat="1" applyFont="1" applyFill="1" applyAlignment="1">
      <alignment horizontal="center"/>
    </xf>
    <xf numFmtId="0" fontId="40" fillId="0" borderId="0" xfId="0" applyFont="1" applyFill="1"/>
    <xf numFmtId="212" fontId="0" fillId="0" borderId="7" xfId="0" applyNumberFormat="1" applyFont="1" applyBorder="1" applyAlignment="1">
      <alignment horizontal="right"/>
    </xf>
    <xf numFmtId="212" fontId="40" fillId="0" borderId="9" xfId="0" applyNumberFormat="1" applyFont="1" applyBorder="1" applyAlignment="1">
      <alignment horizontal="right"/>
    </xf>
    <xf numFmtId="164" fontId="0" fillId="0" borderId="31" xfId="0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205" fontId="0" fillId="0" borderId="0" xfId="2" applyNumberFormat="1" applyFont="1" applyAlignment="1">
      <alignment horizontal="center"/>
    </xf>
    <xf numFmtId="0" fontId="23" fillId="0" borderId="11" xfId="0" applyFont="1" applyBorder="1"/>
    <xf numFmtId="0" fontId="23" fillId="0" borderId="13" xfId="0" applyFont="1" applyBorder="1"/>
    <xf numFmtId="2" fontId="23" fillId="0" borderId="7" xfId="0" applyNumberFormat="1" applyFont="1" applyBorder="1"/>
    <xf numFmtId="226" fontId="33" fillId="16" borderId="7" xfId="0" applyNumberFormat="1" applyFont="1" applyFill="1" applyBorder="1"/>
    <xf numFmtId="0" fontId="23" fillId="0" borderId="1" xfId="0" applyFont="1" applyBorder="1"/>
    <xf numFmtId="0" fontId="23" fillId="0" borderId="16" xfId="0" applyFont="1" applyBorder="1"/>
    <xf numFmtId="229" fontId="53" fillId="26" borderId="14" xfId="0" applyNumberFormat="1" applyFont="1" applyFill="1" applyBorder="1"/>
    <xf numFmtId="0" fontId="54" fillId="18" borderId="1" xfId="0" applyFont="1" applyFill="1" applyBorder="1" applyAlignment="1">
      <alignment vertical="center"/>
    </xf>
    <xf numFmtId="177" fontId="54" fillId="18" borderId="3" xfId="0" applyNumberFormat="1" applyFont="1" applyFill="1" applyBorder="1" applyAlignment="1">
      <alignment horizontal="center" vertical="center"/>
    </xf>
    <xf numFmtId="228" fontId="54" fillId="18" borderId="3" xfId="0" applyNumberFormat="1" applyFont="1" applyFill="1" applyBorder="1" applyAlignment="1">
      <alignment horizontal="center" vertical="center"/>
    </xf>
    <xf numFmtId="230" fontId="33" fillId="16" borderId="7" xfId="0" applyNumberFormat="1" applyFont="1" applyFill="1" applyBorder="1"/>
    <xf numFmtId="0" fontId="47" fillId="18" borderId="4" xfId="0" applyFont="1" applyFill="1" applyBorder="1"/>
    <xf numFmtId="0" fontId="43" fillId="18" borderId="10" xfId="0" applyFont="1" applyFill="1" applyBorder="1"/>
    <xf numFmtId="164" fontId="42" fillId="18" borderId="14" xfId="0" applyNumberFormat="1" applyFont="1" applyFill="1" applyBorder="1" applyAlignment="1">
      <alignment horizontal="right"/>
    </xf>
    <xf numFmtId="0" fontId="43" fillId="18" borderId="6" xfId="0" applyFont="1" applyFill="1" applyBorder="1"/>
    <xf numFmtId="0" fontId="43" fillId="18" borderId="0" xfId="0" applyFont="1" applyFill="1" applyBorder="1"/>
    <xf numFmtId="164" fontId="42" fillId="18" borderId="7" xfId="0" applyNumberFormat="1" applyFont="1" applyFill="1" applyBorder="1" applyAlignment="1">
      <alignment horizontal="right"/>
    </xf>
    <xf numFmtId="0" fontId="47" fillId="18" borderId="8" xfId="0" applyFont="1" applyFill="1" applyBorder="1"/>
    <xf numFmtId="0" fontId="43" fillId="18" borderId="5" xfId="0" applyFont="1" applyFill="1" applyBorder="1"/>
    <xf numFmtId="164" fontId="42" fillId="18" borderId="9" xfId="0" applyNumberFormat="1" applyFont="1" applyFill="1" applyBorder="1" applyAlignment="1">
      <alignment horizontal="right"/>
    </xf>
    <xf numFmtId="0" fontId="47" fillId="18" borderId="6" xfId="0" applyFont="1" applyFill="1" applyBorder="1"/>
    <xf numFmtId="0" fontId="43" fillId="18" borderId="1" xfId="0" applyFont="1" applyFill="1" applyBorder="1"/>
    <xf numFmtId="0" fontId="43" fillId="18" borderId="2" xfId="0" applyFont="1" applyFill="1" applyBorder="1"/>
    <xf numFmtId="164" fontId="42" fillId="18" borderId="16" xfId="0" applyNumberFormat="1" applyFont="1" applyFill="1" applyBorder="1" applyAlignment="1">
      <alignment horizontal="right"/>
    </xf>
    <xf numFmtId="174" fontId="24" fillId="3" borderId="9" xfId="0" applyNumberFormat="1" applyFont="1" applyFill="1" applyBorder="1"/>
    <xf numFmtId="0" fontId="23" fillId="23" borderId="4" xfId="0" applyFont="1" applyFill="1" applyBorder="1" applyAlignment="1">
      <alignment horizontal="right"/>
    </xf>
    <xf numFmtId="0" fontId="23" fillId="23" borderId="11" xfId="0" applyFont="1" applyFill="1" applyBorder="1"/>
    <xf numFmtId="186" fontId="16" fillId="23" borderId="14" xfId="0" applyNumberFormat="1" applyFont="1" applyFill="1" applyBorder="1"/>
    <xf numFmtId="0" fontId="23" fillId="23" borderId="8" xfId="0" applyFont="1" applyFill="1" applyBorder="1" applyAlignment="1">
      <alignment horizontal="right"/>
    </xf>
    <xf numFmtId="0" fontId="23" fillId="23" borderId="13" xfId="0" applyFont="1" applyFill="1" applyBorder="1"/>
    <xf numFmtId="186" fontId="16" fillId="23" borderId="9" xfId="0" applyNumberFormat="1" applyFont="1" applyFill="1" applyBorder="1"/>
    <xf numFmtId="0" fontId="23" fillId="21" borderId="4" xfId="0" applyFont="1" applyFill="1" applyBorder="1" applyAlignment="1">
      <alignment horizontal="right"/>
    </xf>
    <xf numFmtId="0" fontId="23" fillId="21" borderId="11" xfId="0" applyFont="1" applyFill="1" applyBorder="1"/>
    <xf numFmtId="186" fontId="16" fillId="21" borderId="14" xfId="0" applyNumberFormat="1" applyFont="1" applyFill="1" applyBorder="1"/>
    <xf numFmtId="0" fontId="23" fillId="21" borderId="8" xfId="0" applyFont="1" applyFill="1" applyBorder="1" applyAlignment="1">
      <alignment horizontal="right"/>
    </xf>
    <xf numFmtId="0" fontId="23" fillId="21" borderId="13" xfId="0" applyFont="1" applyFill="1" applyBorder="1"/>
    <xf numFmtId="0" fontId="23" fillId="13" borderId="3" xfId="0" applyFont="1" applyFill="1" applyBorder="1"/>
    <xf numFmtId="49" fontId="0" fillId="0" borderId="0" xfId="0" applyNumberFormat="1" applyAlignment="1">
      <alignment horizontal="right"/>
    </xf>
    <xf numFmtId="49" fontId="0" fillId="18" borderId="0" xfId="0" applyNumberFormat="1" applyFill="1" applyAlignment="1">
      <alignment horizontal="right"/>
    </xf>
    <xf numFmtId="49" fontId="18" fillId="18" borderId="0" xfId="1" applyNumberFormat="1" applyFill="1" applyAlignment="1" applyProtection="1">
      <alignment horizontal="right"/>
    </xf>
    <xf numFmtId="0" fontId="55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231" fontId="0" fillId="0" borderId="0" xfId="0" applyNumberFormat="1" applyAlignment="1">
      <alignment horizontal="center"/>
    </xf>
    <xf numFmtId="232" fontId="0" fillId="0" borderId="0" xfId="0" applyNumberFormat="1" applyAlignment="1">
      <alignment horizontal="center"/>
    </xf>
    <xf numFmtId="233" fontId="40" fillId="0" borderId="0" xfId="0" applyNumberFormat="1" applyFont="1" applyAlignment="1">
      <alignment horizontal="center"/>
    </xf>
    <xf numFmtId="0" fontId="56" fillId="0" borderId="0" xfId="0" applyFont="1"/>
    <xf numFmtId="14" fontId="0" fillId="18" borderId="0" xfId="0" applyNumberFormat="1" applyFont="1" applyFill="1" applyAlignment="1">
      <alignment horizontal="left"/>
    </xf>
    <xf numFmtId="44" fontId="0" fillId="18" borderId="0" xfId="2" applyFont="1" applyFill="1"/>
    <xf numFmtId="205" fontId="0" fillId="18" borderId="0" xfId="2" applyNumberFormat="1" applyFont="1" applyFill="1" applyAlignment="1">
      <alignment horizontal="right"/>
    </xf>
    <xf numFmtId="1" fontId="0" fillId="0" borderId="0" xfId="0" applyNumberFormat="1"/>
    <xf numFmtId="234" fontId="23" fillId="0" borderId="0" xfId="0" applyNumberFormat="1" applyFont="1"/>
    <xf numFmtId="186" fontId="16" fillId="21" borderId="3" xfId="0" applyNumberFormat="1" applyFont="1" applyFill="1" applyBorder="1"/>
    <xf numFmtId="164" fontId="0" fillId="0" borderId="0" xfId="0" applyNumberFormat="1" applyFont="1" applyBorder="1" applyAlignment="1">
      <alignment horizontal="right"/>
    </xf>
    <xf numFmtId="235" fontId="23" fillId="0" borderId="0" xfId="0" applyNumberFormat="1" applyFont="1"/>
    <xf numFmtId="0" fontId="46" fillId="18" borderId="0" xfId="0" applyFont="1" applyFill="1"/>
    <xf numFmtId="0" fontId="0" fillId="0" borderId="61" xfId="0" applyBorder="1"/>
    <xf numFmtId="0" fontId="0" fillId="0" borderId="55" xfId="0" applyBorder="1"/>
    <xf numFmtId="0" fontId="46" fillId="18" borderId="51" xfId="0" applyFont="1" applyFill="1" applyBorder="1"/>
    <xf numFmtId="0" fontId="46" fillId="18" borderId="30" xfId="0" applyFont="1" applyFill="1" applyBorder="1"/>
    <xf numFmtId="3" fontId="0" fillId="18" borderId="0" xfId="0" applyNumberFormat="1" applyFill="1"/>
    <xf numFmtId="3" fontId="0" fillId="0" borderId="0" xfId="0" applyNumberFormat="1"/>
    <xf numFmtId="3" fontId="40" fillId="0" borderId="0" xfId="0" applyNumberFormat="1" applyFont="1"/>
    <xf numFmtId="3" fontId="57" fillId="18" borderId="0" xfId="0" applyNumberFormat="1" applyFont="1" applyFill="1"/>
    <xf numFmtId="44" fontId="46" fillId="18" borderId="0" xfId="0" applyNumberFormat="1" applyFont="1" applyFill="1"/>
    <xf numFmtId="0" fontId="47" fillId="18" borderId="50" xfId="0" applyFont="1" applyFill="1" applyBorder="1"/>
    <xf numFmtId="0" fontId="47" fillId="18" borderId="55" xfId="0" applyFont="1" applyFill="1" applyBorder="1"/>
    <xf numFmtId="0" fontId="47" fillId="18" borderId="0" xfId="0" applyFont="1" applyFill="1" applyBorder="1"/>
    <xf numFmtId="0" fontId="47" fillId="18" borderId="49" xfId="0" applyFont="1" applyFill="1" applyBorder="1"/>
    <xf numFmtId="0" fontId="46" fillId="18" borderId="23" xfId="0" applyFont="1" applyFill="1" applyBorder="1"/>
    <xf numFmtId="0" fontId="46" fillId="18" borderId="3" xfId="0" applyFont="1" applyFill="1" applyBorder="1"/>
    <xf numFmtId="1" fontId="47" fillId="18" borderId="0" xfId="0" applyNumberFormat="1" applyFont="1" applyFill="1"/>
    <xf numFmtId="1" fontId="46" fillId="18" borderId="0" xfId="0" applyNumberFormat="1" applyFont="1" applyFill="1"/>
    <xf numFmtId="0" fontId="0" fillId="25" borderId="0" xfId="0" applyFill="1" applyAlignment="1">
      <alignment horizontal="center"/>
    </xf>
    <xf numFmtId="44" fontId="0" fillId="25" borderId="0" xfId="2" applyFont="1" applyFill="1"/>
    <xf numFmtId="1" fontId="0" fillId="18" borderId="0" xfId="0" applyNumberFormat="1" applyFill="1"/>
    <xf numFmtId="237" fontId="0" fillId="0" borderId="14" xfId="0" applyNumberFormat="1" applyBorder="1"/>
    <xf numFmtId="236" fontId="0" fillId="0" borderId="9" xfId="0" applyNumberFormat="1" applyBorder="1"/>
    <xf numFmtId="0" fontId="0" fillId="18" borderId="0" xfId="0" applyNumberFormat="1" applyFill="1"/>
    <xf numFmtId="238" fontId="40" fillId="0" borderId="0" xfId="0" applyNumberFormat="1" applyFont="1"/>
    <xf numFmtId="238" fontId="40" fillId="18" borderId="0" xfId="0" applyNumberFormat="1" applyFont="1" applyFill="1"/>
    <xf numFmtId="49" fontId="0" fillId="0" borderId="8" xfId="0" applyNumberFormat="1" applyBorder="1" applyAlignment="1">
      <alignment horizontal="right"/>
    </xf>
    <xf numFmtId="237" fontId="0" fillId="0" borderId="10" xfId="0" applyNumberFormat="1" applyBorder="1"/>
    <xf numFmtId="236" fontId="0" fillId="0" borderId="14" xfId="0" applyNumberFormat="1" applyBorder="1"/>
    <xf numFmtId="49" fontId="0" fillId="0" borderId="6" xfId="0" applyNumberFormat="1" applyBorder="1" applyAlignment="1">
      <alignment horizontal="right"/>
    </xf>
    <xf numFmtId="49" fontId="0" fillId="0" borderId="7" xfId="0" applyNumberFormat="1" applyBorder="1"/>
    <xf numFmtId="49" fontId="0" fillId="0" borderId="9" xfId="0" applyNumberFormat="1" applyBorder="1"/>
    <xf numFmtId="237" fontId="0" fillId="0" borderId="5" xfId="0" applyNumberFormat="1" applyBorder="1"/>
    <xf numFmtId="49" fontId="0" fillId="0" borderId="14" xfId="0" applyNumberFormat="1" applyBorder="1"/>
    <xf numFmtId="236" fontId="0" fillId="0" borderId="5" xfId="0" applyNumberFormat="1" applyBorder="1"/>
    <xf numFmtId="177" fontId="24" fillId="0" borderId="0" xfId="0" applyNumberFormat="1" applyFont="1" applyFill="1" applyBorder="1"/>
    <xf numFmtId="177" fontId="24" fillId="0" borderId="5" xfId="0" applyNumberFormat="1" applyFont="1" applyFill="1" applyBorder="1"/>
    <xf numFmtId="178" fontId="0" fillId="0" borderId="14" xfId="0" applyNumberFormat="1" applyBorder="1"/>
    <xf numFmtId="0" fontId="0" fillId="0" borderId="10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40" fillId="0" borderId="4" xfId="0" applyNumberFormat="1" applyFont="1" applyBorder="1" applyAlignment="1">
      <alignment horizontal="right"/>
    </xf>
    <xf numFmtId="49" fontId="40" fillId="18" borderId="4" xfId="0" applyNumberFormat="1" applyFont="1" applyFill="1" applyBorder="1" applyAlignment="1">
      <alignment horizontal="right"/>
    </xf>
    <xf numFmtId="49" fontId="0" fillId="18" borderId="14" xfId="0" applyNumberFormat="1" applyFill="1" applyBorder="1"/>
    <xf numFmtId="49" fontId="0" fillId="21" borderId="6" xfId="0" applyNumberFormat="1" applyFill="1" applyBorder="1" applyAlignment="1">
      <alignment horizontal="right"/>
    </xf>
    <xf numFmtId="0" fontId="0" fillId="21" borderId="7" xfId="0" applyNumberFormat="1" applyFill="1" applyBorder="1"/>
    <xf numFmtId="0" fontId="0" fillId="21" borderId="0" xfId="0" applyNumberFormat="1" applyFill="1"/>
    <xf numFmtId="0" fontId="0" fillId="25" borderId="0" xfId="0" applyNumberFormat="1" applyFill="1"/>
    <xf numFmtId="49" fontId="0" fillId="25" borderId="6" xfId="0" applyNumberFormat="1" applyFill="1" applyBorder="1" applyAlignment="1">
      <alignment horizontal="right"/>
    </xf>
    <xf numFmtId="0" fontId="0" fillId="25" borderId="7" xfId="0" applyNumberFormat="1" applyFill="1" applyBorder="1"/>
    <xf numFmtId="49" fontId="0" fillId="25" borderId="8" xfId="0" applyNumberFormat="1" applyFill="1" applyBorder="1" applyAlignment="1">
      <alignment horizontal="right"/>
    </xf>
    <xf numFmtId="0" fontId="0" fillId="25" borderId="9" xfId="0" applyNumberFormat="1" applyFill="1" applyBorder="1"/>
    <xf numFmtId="49" fontId="0" fillId="0" borderId="4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24" fillId="0" borderId="0" xfId="0" applyFont="1" applyFill="1" applyBorder="1"/>
    <xf numFmtId="239" fontId="23" fillId="0" borderId="0" xfId="0" applyNumberFormat="1" applyFont="1"/>
    <xf numFmtId="240" fontId="23" fillId="0" borderId="0" xfId="0" applyNumberFormat="1" applyFont="1"/>
    <xf numFmtId="14" fontId="0" fillId="0" borderId="0" xfId="0" applyNumberFormat="1" applyAlignment="1">
      <alignment horizontal="center"/>
    </xf>
    <xf numFmtId="241" fontId="0" fillId="0" borderId="0" xfId="0" applyNumberFormat="1" applyAlignment="1">
      <alignment horizontal="center"/>
    </xf>
    <xf numFmtId="242" fontId="0" fillId="0" borderId="2" xfId="0" applyNumberFormat="1" applyBorder="1"/>
    <xf numFmtId="235" fontId="0" fillId="0" borderId="2" xfId="0" applyNumberFormat="1" applyBorder="1"/>
    <xf numFmtId="243" fontId="0" fillId="0" borderId="16" xfId="0" applyNumberFormat="1" applyBorder="1"/>
    <xf numFmtId="14" fontId="0" fillId="0" borderId="3" xfId="0" applyNumberFormat="1" applyBorder="1"/>
    <xf numFmtId="244" fontId="0" fillId="0" borderId="10" xfId="0" applyNumberFormat="1" applyBorder="1"/>
    <xf numFmtId="245" fontId="0" fillId="0" borderId="14" xfId="0" applyNumberFormat="1" applyBorder="1"/>
    <xf numFmtId="244" fontId="0" fillId="0" borderId="0" xfId="0" applyNumberFormat="1" applyBorder="1"/>
    <xf numFmtId="245" fontId="0" fillId="0" borderId="7" xfId="0" applyNumberFormat="1" applyBorder="1"/>
    <xf numFmtId="0" fontId="0" fillId="0" borderId="2" xfId="0" applyBorder="1"/>
    <xf numFmtId="10" fontId="58" fillId="0" borderId="9" xfId="0" applyNumberFormat="1" applyFont="1" applyBorder="1"/>
    <xf numFmtId="245" fontId="0" fillId="0" borderId="0" xfId="0" applyNumberFormat="1"/>
    <xf numFmtId="0" fontId="59" fillId="18" borderId="1" xfId="0" applyFont="1" applyFill="1" applyBorder="1"/>
    <xf numFmtId="0" fontId="59" fillId="18" borderId="2" xfId="0" applyFont="1" applyFill="1" applyBorder="1"/>
    <xf numFmtId="246" fontId="59" fillId="18" borderId="16" xfId="0" applyNumberFormat="1" applyFont="1" applyFill="1" applyBorder="1"/>
    <xf numFmtId="0" fontId="0" fillId="0" borderId="4" xfId="0" applyBorder="1" applyAlignment="1">
      <alignment horizontal="right"/>
    </xf>
    <xf numFmtId="2" fontId="0" fillId="0" borderId="7" xfId="0" applyNumberFormat="1" applyBorder="1"/>
    <xf numFmtId="2" fontId="0" fillId="0" borderId="9" xfId="0" applyNumberFormat="1" applyBorder="1"/>
    <xf numFmtId="10" fontId="58" fillId="0" borderId="3" xfId="0" applyNumberFormat="1" applyFont="1" applyBorder="1"/>
    <xf numFmtId="0" fontId="0" fillId="0" borderId="6" xfId="0" applyBorder="1" applyAlignment="1">
      <alignment horizontal="right"/>
    </xf>
    <xf numFmtId="10" fontId="58" fillId="0" borderId="0" xfId="0" applyNumberFormat="1" applyFont="1" applyBorder="1"/>
    <xf numFmtId="10" fontId="58" fillId="0" borderId="16" xfId="0" applyNumberFormat="1" applyFont="1" applyBorder="1"/>
    <xf numFmtId="247" fontId="59" fillId="18" borderId="2" xfId="0" applyNumberFormat="1" applyFont="1" applyFill="1" applyBorder="1"/>
    <xf numFmtId="10" fontId="0" fillId="0" borderId="0" xfId="3" applyNumberFormat="1" applyFont="1"/>
    <xf numFmtId="10" fontId="58" fillId="18" borderId="0" xfId="0" applyNumberFormat="1" applyFont="1" applyFill="1" applyBorder="1"/>
    <xf numFmtId="9" fontId="0" fillId="0" borderId="6" xfId="3" applyFont="1" applyBorder="1"/>
    <xf numFmtId="248" fontId="23" fillId="3" borderId="9" xfId="0" applyNumberFormat="1" applyFont="1" applyFill="1" applyBorder="1"/>
    <xf numFmtId="173" fontId="16" fillId="0" borderId="5" xfId="0" applyNumberFormat="1" applyFont="1" applyBorder="1"/>
    <xf numFmtId="173" fontId="23" fillId="0" borderId="0" xfId="0" applyNumberFormat="1" applyFont="1" applyBorder="1"/>
    <xf numFmtId="235" fontId="23" fillId="0" borderId="7" xfId="0" applyNumberFormat="1" applyFont="1" applyBorder="1"/>
    <xf numFmtId="235" fontId="16" fillId="0" borderId="9" xfId="0" applyNumberFormat="1" applyFont="1" applyBorder="1"/>
    <xf numFmtId="249" fontId="0" fillId="0" borderId="14" xfId="0" applyNumberFormat="1" applyBorder="1"/>
    <xf numFmtId="250" fontId="0" fillId="0" borderId="7" xfId="0" applyNumberFormat="1" applyBorder="1"/>
    <xf numFmtId="250" fontId="0" fillId="0" borderId="9" xfId="0" applyNumberFormat="1" applyBorder="1"/>
    <xf numFmtId="249" fontId="0" fillId="0" borderId="7" xfId="0" applyNumberFormat="1" applyBorder="1"/>
    <xf numFmtId="249" fontId="59" fillId="18" borderId="16" xfId="0" applyNumberFormat="1" applyFont="1" applyFill="1" applyBorder="1"/>
    <xf numFmtId="249" fontId="0" fillId="0" borderId="0" xfId="0" applyNumberFormat="1" applyBorder="1"/>
    <xf numFmtId="249" fontId="0" fillId="0" borderId="5" xfId="0" applyNumberFormat="1" applyBorder="1"/>
    <xf numFmtId="249" fontId="0" fillId="0" borderId="9" xfId="0" applyNumberFormat="1" applyBorder="1"/>
    <xf numFmtId="2" fontId="0" fillId="18" borderId="7" xfId="0" applyNumberFormat="1" applyFill="1" applyBorder="1"/>
    <xf numFmtId="9" fontId="47" fillId="18" borderId="7" xfId="0" applyNumberFormat="1" applyFont="1" applyFill="1" applyBorder="1"/>
    <xf numFmtId="251" fontId="0" fillId="0" borderId="0" xfId="0" applyNumberFormat="1" applyBorder="1"/>
    <xf numFmtId="243" fontId="0" fillId="0" borderId="7" xfId="0" applyNumberFormat="1" applyBorder="1"/>
    <xf numFmtId="241" fontId="0" fillId="0" borderId="62" xfId="0" applyNumberFormat="1" applyBorder="1" applyAlignment="1">
      <alignment horizontal="center"/>
    </xf>
    <xf numFmtId="0" fontId="0" fillId="0" borderId="62" xfId="0" applyBorder="1" applyAlignment="1">
      <alignment horizontal="center"/>
    </xf>
    <xf numFmtId="241" fontId="0" fillId="0" borderId="0" xfId="0" applyNumberFormat="1"/>
    <xf numFmtId="10" fontId="46" fillId="18" borderId="3" xfId="0" applyNumberFormat="1" applyFont="1" applyFill="1" applyBorder="1"/>
    <xf numFmtId="10" fontId="0" fillId="0" borderId="16" xfId="3" applyNumberFormat="1" applyFont="1" applyBorder="1"/>
    <xf numFmtId="0" fontId="18" fillId="0" borderId="6" xfId="1" applyBorder="1" applyAlignment="1" applyProtection="1">
      <alignment wrapText="1"/>
    </xf>
    <xf numFmtId="0" fontId="18" fillId="0" borderId="4" xfId="1" applyBorder="1" applyAlignment="1" applyProtection="1">
      <alignment wrapText="1"/>
    </xf>
    <xf numFmtId="249" fontId="0" fillId="0" borderId="0" xfId="0" applyNumberFormat="1" applyAlignment="1">
      <alignment horizontal="center"/>
    </xf>
    <xf numFmtId="235" fontId="0" fillId="0" borderId="0" xfId="4" applyNumberFormat="1" applyFont="1" applyAlignment="1">
      <alignment horizontal="right"/>
    </xf>
    <xf numFmtId="252" fontId="0" fillId="0" borderId="0" xfId="2" applyNumberFormat="1" applyFont="1"/>
    <xf numFmtId="9" fontId="0" fillId="0" borderId="0" xfId="3" applyFont="1"/>
    <xf numFmtId="1" fontId="0" fillId="0" borderId="0" xfId="4" applyNumberFormat="1" applyFont="1"/>
    <xf numFmtId="0" fontId="0" fillId="0" borderId="0" xfId="0" applyAlignment="1">
      <alignment horizontal="center" vertical="center" wrapText="1"/>
    </xf>
    <xf numFmtId="249" fontId="0" fillId="0" borderId="0" xfId="0" applyNumberFormat="1" applyAlignment="1">
      <alignment horizontal="center" vertical="center" wrapText="1"/>
    </xf>
    <xf numFmtId="235" fontId="0" fillId="0" borderId="0" xfId="4" applyNumberFormat="1" applyFont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1" fontId="0" fillId="0" borderId="0" xfId="4" applyNumberFormat="1" applyFont="1" applyAlignment="1">
      <alignment horizontal="center" vertical="center" wrapText="1"/>
    </xf>
    <xf numFmtId="253" fontId="0" fillId="0" borderId="0" xfId="0" applyNumberFormat="1" applyAlignment="1">
      <alignment horizontal="center" vertical="center" wrapText="1"/>
    </xf>
    <xf numFmtId="253" fontId="0" fillId="0" borderId="0" xfId="0" applyNumberFormat="1" applyAlignment="1">
      <alignment horizontal="center"/>
    </xf>
    <xf numFmtId="252" fontId="0" fillId="0" borderId="0" xfId="0" applyNumberFormat="1"/>
    <xf numFmtId="245" fontId="0" fillId="0" borderId="0" xfId="0" applyNumberFormat="1" applyAlignment="1">
      <alignment horizontal="center" vertical="center" wrapText="1"/>
    </xf>
    <xf numFmtId="245" fontId="0" fillId="0" borderId="0" xfId="0" applyNumberFormat="1" applyAlignment="1">
      <alignment horizontal="center"/>
    </xf>
    <xf numFmtId="0" fontId="0" fillId="0" borderId="8" xfId="0" applyBorder="1" applyAlignment="1">
      <alignment horizontal="right"/>
    </xf>
    <xf numFmtId="245" fontId="0" fillId="0" borderId="9" xfId="0" applyNumberFormat="1" applyBorder="1"/>
    <xf numFmtId="0" fontId="40" fillId="0" borderId="1" xfId="0" applyFont="1" applyBorder="1" applyAlignment="1">
      <alignment horizontal="right"/>
    </xf>
    <xf numFmtId="0" fontId="40" fillId="0" borderId="16" xfId="0" applyFont="1" applyBorder="1"/>
    <xf numFmtId="0" fontId="0" fillId="0" borderId="13" xfId="0" applyBorder="1"/>
    <xf numFmtId="254" fontId="0" fillId="0" borderId="0" xfId="0" applyNumberFormat="1"/>
    <xf numFmtId="253" fontId="40" fillId="0" borderId="16" xfId="0" applyNumberFormat="1" applyFont="1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252" fontId="2" fillId="0" borderId="0" xfId="2" applyNumberFormat="1" applyFont="1"/>
    <xf numFmtId="252" fontId="2" fillId="0" borderId="6" xfId="2" applyNumberFormat="1" applyFont="1" applyBorder="1"/>
    <xf numFmtId="252" fontId="2" fillId="0" borderId="0" xfId="2" applyNumberFormat="1" applyFont="1" applyBorder="1"/>
    <xf numFmtId="252" fontId="59" fillId="0" borderId="1" xfId="2" applyNumberFormat="1" applyFont="1" applyBorder="1"/>
    <xf numFmtId="252" fontId="59" fillId="0" borderId="3" xfId="2" applyNumberFormat="1" applyFont="1" applyBorder="1"/>
    <xf numFmtId="252" fontId="40" fillId="0" borderId="3" xfId="2" applyNumberFormat="1" applyFont="1" applyBorder="1"/>
    <xf numFmtId="252" fontId="0" fillId="0" borderId="0" xfId="2" applyNumberFormat="1" applyFont="1" applyBorder="1"/>
    <xf numFmtId="252" fontId="40" fillId="0" borderId="1" xfId="2" applyNumberFormat="1" applyFont="1" applyBorder="1"/>
    <xf numFmtId="252" fontId="2" fillId="0" borderId="11" xfId="2" applyNumberFormat="1" applyFont="1" applyBorder="1"/>
    <xf numFmtId="252" fontId="2" fillId="0" borderId="12" xfId="2" applyNumberFormat="1" applyFont="1" applyBorder="1"/>
    <xf numFmtId="253" fontId="0" fillId="0" borderId="0" xfId="0" applyNumberFormat="1"/>
    <xf numFmtId="252" fontId="1" fillId="0" borderId="0" xfId="2" applyNumberFormat="1" applyFont="1" applyFill="1" applyBorder="1"/>
    <xf numFmtId="20" fontId="0" fillId="0" borderId="0" xfId="0" applyNumberForma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6" fillId="2" borderId="2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5" fillId="0" borderId="0" xfId="0" applyNumberFormat="1" applyFont="1" applyFill="1" applyAlignment="1">
      <alignment horizontal="center"/>
    </xf>
    <xf numFmtId="0" fontId="18" fillId="0" borderId="4" xfId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4" fillId="10" borderId="54" xfId="0" applyFont="1" applyFill="1" applyBorder="1" applyAlignment="1">
      <alignment horizontal="center" vertical="top" wrapText="1"/>
    </xf>
    <xf numFmtId="0" fontId="4" fillId="10" borderId="20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center" vertical="center" wrapText="1"/>
    </xf>
    <xf numFmtId="0" fontId="4" fillId="0" borderId="55" xfId="0" applyFont="1" applyBorder="1" applyAlignment="1">
      <alignment horizontal="center" vertical="top" wrapText="1"/>
    </xf>
    <xf numFmtId="0" fontId="4" fillId="0" borderId="56" xfId="0" applyFont="1" applyBorder="1" applyAlignment="1">
      <alignment horizontal="center" vertical="top" wrapText="1"/>
    </xf>
    <xf numFmtId="202" fontId="36" fillId="10" borderId="40" xfId="0" applyNumberFormat="1" applyFont="1" applyFill="1" applyBorder="1" applyAlignment="1">
      <alignment horizontal="center" vertical="top" wrapText="1"/>
    </xf>
    <xf numFmtId="202" fontId="36" fillId="10" borderId="52" xfId="0" applyNumberFormat="1" applyFont="1" applyFill="1" applyBorder="1" applyAlignment="1">
      <alignment horizontal="center" vertical="top" wrapText="1"/>
    </xf>
    <xf numFmtId="202" fontId="36" fillId="10" borderId="57" xfId="0" applyNumberFormat="1" applyFont="1" applyFill="1" applyBorder="1" applyAlignment="1">
      <alignment horizontal="center" vertical="top" wrapText="1"/>
    </xf>
    <xf numFmtId="202" fontId="36" fillId="10" borderId="58" xfId="0" applyNumberFormat="1" applyFont="1" applyFill="1" applyBorder="1" applyAlignment="1">
      <alignment horizontal="center" vertical="top" wrapText="1"/>
    </xf>
    <xf numFmtId="0" fontId="4" fillId="10" borderId="59" xfId="0" applyFont="1" applyFill="1" applyBorder="1" applyAlignment="1">
      <alignment horizontal="center" vertical="top" wrapText="1"/>
    </xf>
    <xf numFmtId="0" fontId="4" fillId="10" borderId="60" xfId="0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/>
    </xf>
  </cellXfs>
  <cellStyles count="5">
    <cellStyle name="Ezres" xfId="4" builtinId="3"/>
    <cellStyle name="Hivatkozás" xfId="1" builtinId="8"/>
    <cellStyle name="Normál" xfId="0" builtinId="0"/>
    <cellStyle name="Pénznem" xfId="2" builtinId="4"/>
    <cellStyle name="Százalék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'áram 2017'!$E$21:$E$202</c:f>
              <c:numCache>
                <c:formatCode>m/d/yyyy</c:formatCode>
                <c:ptCount val="182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  <c:pt idx="41">
                  <c:v>43081</c:v>
                </c:pt>
                <c:pt idx="42">
                  <c:v>43082</c:v>
                </c:pt>
                <c:pt idx="43">
                  <c:v>43083</c:v>
                </c:pt>
                <c:pt idx="44">
                  <c:v>43084</c:v>
                </c:pt>
                <c:pt idx="45">
                  <c:v>43085</c:v>
                </c:pt>
                <c:pt idx="46">
                  <c:v>43086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43092</c:v>
                </c:pt>
                <c:pt idx="53">
                  <c:v>43093</c:v>
                </c:pt>
                <c:pt idx="54">
                  <c:v>43094</c:v>
                </c:pt>
                <c:pt idx="55">
                  <c:v>43095</c:v>
                </c:pt>
                <c:pt idx="56">
                  <c:v>43096</c:v>
                </c:pt>
                <c:pt idx="57">
                  <c:v>43097</c:v>
                </c:pt>
                <c:pt idx="58">
                  <c:v>43098</c:v>
                </c:pt>
                <c:pt idx="59">
                  <c:v>43099</c:v>
                </c:pt>
                <c:pt idx="60">
                  <c:v>43100</c:v>
                </c:pt>
                <c:pt idx="61">
                  <c:v>43101</c:v>
                </c:pt>
                <c:pt idx="62">
                  <c:v>43102</c:v>
                </c:pt>
                <c:pt idx="63">
                  <c:v>43103</c:v>
                </c:pt>
                <c:pt idx="64">
                  <c:v>43104</c:v>
                </c:pt>
                <c:pt idx="65">
                  <c:v>43105</c:v>
                </c:pt>
                <c:pt idx="66">
                  <c:v>43106</c:v>
                </c:pt>
                <c:pt idx="67">
                  <c:v>43107</c:v>
                </c:pt>
                <c:pt idx="68">
                  <c:v>43108</c:v>
                </c:pt>
                <c:pt idx="69">
                  <c:v>43109</c:v>
                </c:pt>
                <c:pt idx="70">
                  <c:v>43110</c:v>
                </c:pt>
                <c:pt idx="71">
                  <c:v>43111</c:v>
                </c:pt>
                <c:pt idx="72">
                  <c:v>43112</c:v>
                </c:pt>
                <c:pt idx="73">
                  <c:v>43113</c:v>
                </c:pt>
                <c:pt idx="74">
                  <c:v>43114</c:v>
                </c:pt>
                <c:pt idx="75">
                  <c:v>43115</c:v>
                </c:pt>
                <c:pt idx="76">
                  <c:v>43116</c:v>
                </c:pt>
                <c:pt idx="77">
                  <c:v>43117</c:v>
                </c:pt>
                <c:pt idx="78">
                  <c:v>43118</c:v>
                </c:pt>
                <c:pt idx="79">
                  <c:v>43119</c:v>
                </c:pt>
                <c:pt idx="80">
                  <c:v>43120</c:v>
                </c:pt>
                <c:pt idx="81">
                  <c:v>43121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43127</c:v>
                </c:pt>
                <c:pt idx="88">
                  <c:v>43128</c:v>
                </c:pt>
                <c:pt idx="89">
                  <c:v>43129</c:v>
                </c:pt>
                <c:pt idx="90">
                  <c:v>43130</c:v>
                </c:pt>
                <c:pt idx="91">
                  <c:v>43131</c:v>
                </c:pt>
                <c:pt idx="92">
                  <c:v>43132</c:v>
                </c:pt>
                <c:pt idx="93">
                  <c:v>43133</c:v>
                </c:pt>
                <c:pt idx="94">
                  <c:v>43134</c:v>
                </c:pt>
                <c:pt idx="95">
                  <c:v>43135</c:v>
                </c:pt>
                <c:pt idx="96">
                  <c:v>43136</c:v>
                </c:pt>
                <c:pt idx="97">
                  <c:v>43137</c:v>
                </c:pt>
                <c:pt idx="98">
                  <c:v>43138</c:v>
                </c:pt>
                <c:pt idx="99">
                  <c:v>43139</c:v>
                </c:pt>
                <c:pt idx="100">
                  <c:v>43140</c:v>
                </c:pt>
                <c:pt idx="101">
                  <c:v>43141</c:v>
                </c:pt>
                <c:pt idx="102">
                  <c:v>43142</c:v>
                </c:pt>
                <c:pt idx="103">
                  <c:v>43143</c:v>
                </c:pt>
                <c:pt idx="104">
                  <c:v>43144</c:v>
                </c:pt>
                <c:pt idx="105">
                  <c:v>43145</c:v>
                </c:pt>
                <c:pt idx="106">
                  <c:v>43146</c:v>
                </c:pt>
                <c:pt idx="107">
                  <c:v>43147</c:v>
                </c:pt>
                <c:pt idx="108">
                  <c:v>43148</c:v>
                </c:pt>
                <c:pt idx="109">
                  <c:v>43149</c:v>
                </c:pt>
                <c:pt idx="110">
                  <c:v>43150</c:v>
                </c:pt>
                <c:pt idx="111">
                  <c:v>43151</c:v>
                </c:pt>
                <c:pt idx="112">
                  <c:v>43152</c:v>
                </c:pt>
                <c:pt idx="113">
                  <c:v>43153</c:v>
                </c:pt>
                <c:pt idx="114">
                  <c:v>43154</c:v>
                </c:pt>
                <c:pt idx="115">
                  <c:v>43155</c:v>
                </c:pt>
                <c:pt idx="116">
                  <c:v>43156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43162</c:v>
                </c:pt>
                <c:pt idx="123">
                  <c:v>43163</c:v>
                </c:pt>
                <c:pt idx="124">
                  <c:v>43164</c:v>
                </c:pt>
                <c:pt idx="125">
                  <c:v>43165</c:v>
                </c:pt>
                <c:pt idx="126">
                  <c:v>43166</c:v>
                </c:pt>
                <c:pt idx="127">
                  <c:v>43167</c:v>
                </c:pt>
                <c:pt idx="128">
                  <c:v>43168</c:v>
                </c:pt>
                <c:pt idx="129">
                  <c:v>43169</c:v>
                </c:pt>
                <c:pt idx="130">
                  <c:v>43170</c:v>
                </c:pt>
                <c:pt idx="131">
                  <c:v>43171</c:v>
                </c:pt>
                <c:pt idx="132">
                  <c:v>43172</c:v>
                </c:pt>
                <c:pt idx="133">
                  <c:v>43173</c:v>
                </c:pt>
                <c:pt idx="134">
                  <c:v>43174</c:v>
                </c:pt>
                <c:pt idx="135">
                  <c:v>43175</c:v>
                </c:pt>
                <c:pt idx="136">
                  <c:v>43176</c:v>
                </c:pt>
                <c:pt idx="137">
                  <c:v>43177</c:v>
                </c:pt>
                <c:pt idx="138">
                  <c:v>43178</c:v>
                </c:pt>
                <c:pt idx="139">
                  <c:v>43179</c:v>
                </c:pt>
                <c:pt idx="140">
                  <c:v>43180</c:v>
                </c:pt>
                <c:pt idx="141">
                  <c:v>43181</c:v>
                </c:pt>
                <c:pt idx="142">
                  <c:v>43182</c:v>
                </c:pt>
                <c:pt idx="143">
                  <c:v>43183</c:v>
                </c:pt>
                <c:pt idx="144">
                  <c:v>43184</c:v>
                </c:pt>
                <c:pt idx="145">
                  <c:v>43185</c:v>
                </c:pt>
                <c:pt idx="146">
                  <c:v>43186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43190</c:v>
                </c:pt>
                <c:pt idx="151">
                  <c:v>43191</c:v>
                </c:pt>
                <c:pt idx="152">
                  <c:v>43192</c:v>
                </c:pt>
                <c:pt idx="153">
                  <c:v>43193</c:v>
                </c:pt>
                <c:pt idx="154">
                  <c:v>43194</c:v>
                </c:pt>
                <c:pt idx="155">
                  <c:v>43195</c:v>
                </c:pt>
                <c:pt idx="156">
                  <c:v>43196</c:v>
                </c:pt>
                <c:pt idx="157">
                  <c:v>43197</c:v>
                </c:pt>
                <c:pt idx="158">
                  <c:v>43198</c:v>
                </c:pt>
                <c:pt idx="159">
                  <c:v>43199</c:v>
                </c:pt>
                <c:pt idx="160">
                  <c:v>43200</c:v>
                </c:pt>
                <c:pt idx="161">
                  <c:v>43201</c:v>
                </c:pt>
                <c:pt idx="162">
                  <c:v>43202</c:v>
                </c:pt>
                <c:pt idx="163">
                  <c:v>43203</c:v>
                </c:pt>
                <c:pt idx="164">
                  <c:v>43204</c:v>
                </c:pt>
                <c:pt idx="165">
                  <c:v>43205</c:v>
                </c:pt>
                <c:pt idx="166">
                  <c:v>43206</c:v>
                </c:pt>
                <c:pt idx="167">
                  <c:v>43207</c:v>
                </c:pt>
                <c:pt idx="168">
                  <c:v>43208</c:v>
                </c:pt>
                <c:pt idx="169">
                  <c:v>43209</c:v>
                </c:pt>
                <c:pt idx="170">
                  <c:v>43210</c:v>
                </c:pt>
                <c:pt idx="171">
                  <c:v>43211</c:v>
                </c:pt>
                <c:pt idx="172">
                  <c:v>43212</c:v>
                </c:pt>
                <c:pt idx="173">
                  <c:v>43213</c:v>
                </c:pt>
                <c:pt idx="174">
                  <c:v>43214</c:v>
                </c:pt>
                <c:pt idx="175">
                  <c:v>43215</c:v>
                </c:pt>
                <c:pt idx="176">
                  <c:v>43216</c:v>
                </c:pt>
                <c:pt idx="177">
                  <c:v>43217</c:v>
                </c:pt>
                <c:pt idx="178">
                  <c:v>43218</c:v>
                </c:pt>
                <c:pt idx="179">
                  <c:v>43219</c:v>
                </c:pt>
                <c:pt idx="180">
                  <c:v>43220</c:v>
                </c:pt>
                <c:pt idx="181">
                  <c:v>43221</c:v>
                </c:pt>
              </c:numCache>
            </c:numRef>
          </c:cat>
          <c:val>
            <c:numRef>
              <c:f>'áram 2017'!$I$21:$I$202</c:f>
              <c:numCache>
                <c:formatCode>#0" W"</c:formatCode>
                <c:ptCount val="182"/>
                <c:pt idx="0">
                  <c:v>1498.4391259105098</c:v>
                </c:pt>
                <c:pt idx="1">
                  <c:v>1000.4921402310163</c:v>
                </c:pt>
                <c:pt idx="2">
                  <c:v>833.67104729925325</c:v>
                </c:pt>
                <c:pt idx="3">
                  <c:v>1332.3310009830566</c:v>
                </c:pt>
                <c:pt idx="4">
                  <c:v>1039.5310559902978</c:v>
                </c:pt>
                <c:pt idx="5">
                  <c:v>960.44542396473719</c:v>
                </c:pt>
                <c:pt idx="6">
                  <c:v>998.78619732963409</c:v>
                </c:pt>
                <c:pt idx="7">
                  <c:v>1375.3183607316507</c:v>
                </c:pt>
                <c:pt idx="8">
                  <c:v>1791.044776119403</c:v>
                </c:pt>
                <c:pt idx="9">
                  <c:v>747.44794970874909</c:v>
                </c:pt>
                <c:pt idx="10">
                  <c:v>1128.7887585646265</c:v>
                </c:pt>
                <c:pt idx="11">
                  <c:v>1128.7887585646265</c:v>
                </c:pt>
                <c:pt idx="12">
                  <c:v>1128.7887585646265</c:v>
                </c:pt>
                <c:pt idx="13">
                  <c:v>1250.036170028068</c:v>
                </c:pt>
                <c:pt idx="14">
                  <c:v>1500</c:v>
                </c:pt>
                <c:pt idx="15">
                  <c:v>1500.2170452901171</c:v>
                </c:pt>
                <c:pt idx="16">
                  <c:v>1457.9114839456176</c:v>
                </c:pt>
                <c:pt idx="17">
                  <c:v>1699.4818652849742</c:v>
                </c:pt>
                <c:pt idx="18">
                  <c:v>1374.8806527211182</c:v>
                </c:pt>
                <c:pt idx="19">
                  <c:v>1255.9234816989856</c:v>
                </c:pt>
                <c:pt idx="20">
                  <c:v>1626.2234319800777</c:v>
                </c:pt>
                <c:pt idx="21">
                  <c:v>1248.5909997398769</c:v>
                </c:pt>
                <c:pt idx="22">
                  <c:v>1622.6992978704961</c:v>
                </c:pt>
                <c:pt idx="23">
                  <c:v>1324.0998821872934</c:v>
                </c:pt>
                <c:pt idx="24">
                  <c:v>1166.6666666666667</c:v>
                </c:pt>
                <c:pt idx="25">
                  <c:v>1178.3616331063506</c:v>
                </c:pt>
                <c:pt idx="26">
                  <c:v>1250.5065709488799</c:v>
                </c:pt>
                <c:pt idx="27">
                  <c:v>1748.3305871129996</c:v>
                </c:pt>
                <c:pt idx="28">
                  <c:v>2208.1416543702799</c:v>
                </c:pt>
                <c:pt idx="29">
                  <c:v>1875.9227629331556</c:v>
                </c:pt>
                <c:pt idx="30">
                  <c:v>875.15193610001745</c:v>
                </c:pt>
                <c:pt idx="31">
                  <c:v>1749.5950011571394</c:v>
                </c:pt>
                <c:pt idx="32">
                  <c:v>1833.4924906675928</c:v>
                </c:pt>
                <c:pt idx="33">
                  <c:v>1998.4387197501951</c:v>
                </c:pt>
                <c:pt idx="34">
                  <c:v>1792.8079217094216</c:v>
                </c:pt>
                <c:pt idx="35">
                  <c:v>1791.4593218377504</c:v>
                </c:pt>
                <c:pt idx="36">
                  <c:v>1860.9459808736108</c:v>
                </c:pt>
                <c:pt idx="37">
                  <c:v>1384.857492568631</c:v>
                </c:pt>
                <c:pt idx="38">
                  <c:v>1542.4253828561502</c:v>
                </c:pt>
                <c:pt idx="39">
                  <c:v>1666.2327518875293</c:v>
                </c:pt>
                <c:pt idx="40">
                  <c:v>2250.6512301013022</c:v>
                </c:pt>
                <c:pt idx="41">
                  <c:v>1417.6511466296038</c:v>
                </c:pt>
                <c:pt idx="42">
                  <c:v>1539.7953875498526</c:v>
                </c:pt>
                <c:pt idx="43">
                  <c:v>1710.4119589779245</c:v>
                </c:pt>
                <c:pt idx="44">
                  <c:v>1540.9978308026029</c:v>
                </c:pt>
                <c:pt idx="45">
                  <c:v>1830.2617135594198</c:v>
                </c:pt>
                <c:pt idx="46">
                  <c:v>1538.7281233754982</c:v>
                </c:pt>
                <c:pt idx="47">
                  <c:v>2005.5710306406684</c:v>
                </c:pt>
                <c:pt idx="48">
                  <c:v>1958.4466693674403</c:v>
                </c:pt>
                <c:pt idx="49">
                  <c:v>2124.692608129611</c:v>
                </c:pt>
                <c:pt idx="50">
                  <c:v>2457.266811279826</c:v>
                </c:pt>
                <c:pt idx="51">
                  <c:v>1708.7288724241723</c:v>
                </c:pt>
                <c:pt idx="52">
                  <c:v>1750.101279009202</c:v>
                </c:pt>
                <c:pt idx="53">
                  <c:v>1499.2625155450157</c:v>
                </c:pt>
                <c:pt idx="54">
                  <c:v>1416.6666666666667</c:v>
                </c:pt>
                <c:pt idx="55">
                  <c:v>1416.6666666666667</c:v>
                </c:pt>
                <c:pt idx="56">
                  <c:v>1416.6666666666667</c:v>
                </c:pt>
                <c:pt idx="57">
                  <c:v>1455.8058925476603</c:v>
                </c:pt>
                <c:pt idx="58">
                  <c:v>1378.0703535075254</c:v>
                </c:pt>
                <c:pt idx="59">
                  <c:v>1541.8897409926205</c:v>
                </c:pt>
                <c:pt idx="60">
                  <c:v>2083.3333333333335</c:v>
                </c:pt>
                <c:pt idx="61">
                  <c:v>2028.3439215799003</c:v>
                </c:pt>
                <c:pt idx="62">
                  <c:v>1298.4293193717278</c:v>
                </c:pt>
                <c:pt idx="63">
                  <c:v>1663.2977187409761</c:v>
                </c:pt>
                <c:pt idx="64">
                  <c:v>1213.918200052324</c:v>
                </c:pt>
                <c:pt idx="65">
                  <c:v>1455.385503898354</c:v>
                </c:pt>
                <c:pt idx="66">
                  <c:v>1291.6666666666667</c:v>
                </c:pt>
                <c:pt idx="67">
                  <c:v>1334.7623323581379</c:v>
                </c:pt>
                <c:pt idx="68">
                  <c:v>1582.3718226771925</c:v>
                </c:pt>
                <c:pt idx="69">
                  <c:v>1333.8736756788053</c:v>
                </c:pt>
                <c:pt idx="70">
                  <c:v>1333.3333333333333</c:v>
                </c:pt>
                <c:pt idx="71">
                  <c:v>1333.2176026386596</c:v>
                </c:pt>
                <c:pt idx="72">
                  <c:v>1790.2680197762163</c:v>
                </c:pt>
                <c:pt idx="73">
                  <c:v>1542.6040128550335</c:v>
                </c:pt>
                <c:pt idx="74">
                  <c:v>1833.3333333333333</c:v>
                </c:pt>
                <c:pt idx="75">
                  <c:v>2000.926354793886</c:v>
                </c:pt>
                <c:pt idx="76">
                  <c:v>2332.1861352922465</c:v>
                </c:pt>
                <c:pt idx="77">
                  <c:v>1999.0745025451179</c:v>
                </c:pt>
                <c:pt idx="78">
                  <c:v>1668.3562635771182</c:v>
                </c:pt>
                <c:pt idx="79">
                  <c:v>1832.0610687022902</c:v>
                </c:pt>
                <c:pt idx="80">
                  <c:v>1952.0636843471489</c:v>
                </c:pt>
                <c:pt idx="81">
                  <c:v>1710.1147028154326</c:v>
                </c:pt>
                <c:pt idx="82">
                  <c:v>2003.1879437762643</c:v>
                </c:pt>
                <c:pt idx="83">
                  <c:v>2043.4996669466243</c:v>
                </c:pt>
                <c:pt idx="84">
                  <c:v>1996.9952617589274</c:v>
                </c:pt>
                <c:pt idx="85">
                  <c:v>1544.4821288807723</c:v>
                </c:pt>
                <c:pt idx="86">
                  <c:v>2123.0342275670673</c:v>
                </c:pt>
                <c:pt idx="87">
                  <c:v>1703.453648403012</c:v>
                </c:pt>
                <c:pt idx="88">
                  <c:v>1462.5652930934416</c:v>
                </c:pt>
                <c:pt idx="89">
                  <c:v>1250.8324405709818</c:v>
                </c:pt>
                <c:pt idx="90">
                  <c:v>1207.3202463210848</c:v>
                </c:pt>
                <c:pt idx="91">
                  <c:v>1836.3088337584047</c:v>
                </c:pt>
                <c:pt idx="92">
                  <c:v>1416.6666666666667</c:v>
                </c:pt>
                <c:pt idx="93">
                  <c:v>1500</c:v>
                </c:pt>
                <c:pt idx="94">
                  <c:v>1416.6666666666667</c:v>
                </c:pt>
                <c:pt idx="95">
                  <c:v>1539.6618985695709</c:v>
                </c:pt>
                <c:pt idx="96">
                  <c:v>1914.6722164412072</c:v>
                </c:pt>
                <c:pt idx="97">
                  <c:v>2126.5998725893323</c:v>
                </c:pt>
                <c:pt idx="98">
                  <c:v>1999.1901428819342</c:v>
                </c:pt>
                <c:pt idx="99">
                  <c:v>1791.6666666666667</c:v>
                </c:pt>
                <c:pt idx="100">
                  <c:v>1792.0815003473028</c:v>
                </c:pt>
                <c:pt idx="101">
                  <c:v>1250.4703736938086</c:v>
                </c:pt>
                <c:pt idx="102">
                  <c:v>1954.7699506108656</c:v>
                </c:pt>
                <c:pt idx="103">
                  <c:v>2121.3171577123048</c:v>
                </c:pt>
                <c:pt idx="104">
                  <c:v>1673.3970541239357</c:v>
                </c:pt>
                <c:pt idx="105">
                  <c:v>1749.7974771438492</c:v>
                </c:pt>
                <c:pt idx="106">
                  <c:v>1940.700808625337</c:v>
                </c:pt>
                <c:pt idx="107">
                  <c:v>1637.9385773033512</c:v>
                </c:pt>
                <c:pt idx="108">
                  <c:v>1916.6666666666667</c:v>
                </c:pt>
                <c:pt idx="109">
                  <c:v>1996.0725424511957</c:v>
                </c:pt>
                <c:pt idx="110">
                  <c:v>1128.5594032103568</c:v>
                </c:pt>
                <c:pt idx="111">
                  <c:v>2125.7381035081626</c:v>
                </c:pt>
                <c:pt idx="112">
                  <c:v>1832.9090488312888</c:v>
                </c:pt>
                <c:pt idx="113">
                  <c:v>1666.6666666666667</c:v>
                </c:pt>
                <c:pt idx="114">
                  <c:v>1796.0320222763662</c:v>
                </c:pt>
                <c:pt idx="115">
                  <c:v>1537.2630485588159</c:v>
                </c:pt>
                <c:pt idx="116">
                  <c:v>1625</c:v>
                </c:pt>
                <c:pt idx="117">
                  <c:v>2746.9001994277291</c:v>
                </c:pt>
                <c:pt idx="118">
                  <c:v>2625</c:v>
                </c:pt>
                <c:pt idx="119">
                  <c:v>2632.0828618678734</c:v>
                </c:pt>
                <c:pt idx="120">
                  <c:v>2587.3011273075026</c:v>
                </c:pt>
                <c:pt idx="121">
                  <c:v>3111.0470977963419</c:v>
                </c:pt>
                <c:pt idx="122">
                  <c:v>2166.6666666666665</c:v>
                </c:pt>
                <c:pt idx="123">
                  <c:v>2244.609300580204</c:v>
                </c:pt>
                <c:pt idx="124">
                  <c:v>1966.7557828664419</c:v>
                </c:pt>
                <c:pt idx="125">
                  <c:v>2116.4875068445776</c:v>
                </c:pt>
                <c:pt idx="126">
                  <c:v>1494.120359695642</c:v>
                </c:pt>
                <c:pt idx="127">
                  <c:v>2038.1282495667242</c:v>
                </c:pt>
                <c:pt idx="128">
                  <c:v>1254.6832796026836</c:v>
                </c:pt>
                <c:pt idx="129">
                  <c:v>1088.2455528426926</c:v>
                </c:pt>
                <c:pt idx="130">
                  <c:v>1290.3971787015089</c:v>
                </c:pt>
                <c:pt idx="131">
                  <c:v>948.80682957572981</c:v>
                </c:pt>
                <c:pt idx="132">
                  <c:v>378.78123629986851</c:v>
                </c:pt>
                <c:pt idx="133">
                  <c:v>1081.081081081081</c:v>
                </c:pt>
                <c:pt idx="134">
                  <c:v>1083.1452872765146</c:v>
                </c:pt>
                <c:pt idx="135">
                  <c:v>1672.4738675958188</c:v>
                </c:pt>
                <c:pt idx="136">
                  <c:v>1666.6666666666667</c:v>
                </c:pt>
                <c:pt idx="137">
                  <c:v>1666.6666666666667</c:v>
                </c:pt>
                <c:pt idx="138">
                  <c:v>1541.6666666666667</c:v>
                </c:pt>
                <c:pt idx="139">
                  <c:v>1875</c:v>
                </c:pt>
                <c:pt idx="140">
                  <c:v>1816.6179253397556</c:v>
                </c:pt>
                <c:pt idx="141">
                  <c:v>673.36918400748175</c:v>
                </c:pt>
                <c:pt idx="142">
                  <c:v>1821.9461697722568</c:v>
                </c:pt>
                <c:pt idx="143">
                  <c:v>1216.3579168123035</c:v>
                </c:pt>
                <c:pt idx="144">
                  <c:v>1541.6666666666667</c:v>
                </c:pt>
                <c:pt idx="145">
                  <c:v>1583.3333333333333</c:v>
                </c:pt>
                <c:pt idx="146">
                  <c:v>1455.8479447702127</c:v>
                </c:pt>
                <c:pt idx="147">
                  <c:v>1418.1028240405503</c:v>
                </c:pt>
                <c:pt idx="148">
                  <c:v>1321.5176804611547</c:v>
                </c:pt>
                <c:pt idx="149">
                  <c:v>1846.7995802728228</c:v>
                </c:pt>
                <c:pt idx="150">
                  <c:v>958.33333333333337</c:v>
                </c:pt>
                <c:pt idx="151">
                  <c:v>1000</c:v>
                </c:pt>
                <c:pt idx="152">
                  <c:v>913.83736694839479</c:v>
                </c:pt>
                <c:pt idx="153">
                  <c:v>957.14244429673738</c:v>
                </c:pt>
                <c:pt idx="154">
                  <c:v>754.80489225393137</c:v>
                </c:pt>
                <c:pt idx="155">
                  <c:v>708.33333333333337</c:v>
                </c:pt>
                <c:pt idx="156">
                  <c:v>789.74714236231375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0-4C00-81BB-3F2CBEC69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77184"/>
        <c:axId val="158878720"/>
      </c:lineChart>
      <c:dateAx>
        <c:axId val="15887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878720"/>
        <c:crosses val="autoZero"/>
        <c:auto val="1"/>
        <c:lblOffset val="100"/>
        <c:baseTimeUnit val="days"/>
      </c:dateAx>
      <c:valAx>
        <c:axId val="158878720"/>
        <c:scaling>
          <c:orientation val="minMax"/>
        </c:scaling>
        <c:delete val="0"/>
        <c:axPos val="l"/>
        <c:majorGridlines/>
        <c:numFmt formatCode="#0&quot; W&quot;" sourceLinked="1"/>
        <c:majorTickMark val="out"/>
        <c:minorTickMark val="none"/>
        <c:tickLblPos val="nextTo"/>
        <c:crossAx val="1588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Drop" dropLines="41" dropStyle="combo" dx="15" fmlaLink="$Q$2" fmlaRange="$P$3:$P$42" sel="25" val="0"/>
</file>

<file path=xl/ctrlProps/ctrlProp2.xml><?xml version="1.0" encoding="utf-8"?>
<formControlPr xmlns="http://schemas.microsoft.com/office/spreadsheetml/2009/9/main" objectType="Drop" dropLines="15" dropStyle="combo" dx="15" fmlaLink="$T$2" fmlaRange="$R$2:$R$3" sel="2" val="0"/>
</file>

<file path=xl/ctrlProps/ctrlProp3.xml><?xml version="1.0" encoding="utf-8"?>
<formControlPr xmlns="http://schemas.microsoft.com/office/spreadsheetml/2009/9/main" objectType="Drop" dropLines="15" dropStyle="combo" dx="15" fmlaLink="$V$2" fmlaRange="$U$2:$U$17" sel="13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</xdr:row>
          <xdr:rowOff>123825</xdr:rowOff>
        </xdr:from>
        <xdr:to>
          <xdr:col>5</xdr:col>
          <xdr:colOff>847725</xdr:colOff>
          <xdr:row>3</xdr:row>
          <xdr:rowOff>38100</xdr:rowOff>
        </xdr:to>
        <xdr:sp macro="" textlink="">
          <xdr:nvSpPr>
            <xdr:cNvPr id="2059" name="Lenyíló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4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114300</xdr:rowOff>
        </xdr:from>
        <xdr:to>
          <xdr:col>12</xdr:col>
          <xdr:colOff>9525</xdr:colOff>
          <xdr:row>3</xdr:row>
          <xdr:rowOff>28575</xdr:rowOff>
        </xdr:to>
        <xdr:sp macro="" textlink="">
          <xdr:nvSpPr>
            <xdr:cNvPr id="2061" name="Lenyíló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4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</xdr:row>
          <xdr:rowOff>123825</xdr:rowOff>
        </xdr:from>
        <xdr:to>
          <xdr:col>6</xdr:col>
          <xdr:colOff>904875</xdr:colOff>
          <xdr:row>3</xdr:row>
          <xdr:rowOff>38100</xdr:rowOff>
        </xdr:to>
        <xdr:sp macro="" textlink="">
          <xdr:nvSpPr>
            <xdr:cNvPr id="2062" name="Lenyíló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4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19050</xdr:rowOff>
    </xdr:from>
    <xdr:to>
      <xdr:col>35</xdr:col>
      <xdr:colOff>519544</xdr:colOff>
      <xdr:row>29</xdr:row>
      <xdr:rowOff>133350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art.vacuumsdirect.co.uk/index.php?p=catalog&amp;parent=35&amp;pg=1" TargetMode="External"/><Relationship Id="rId2" Type="http://schemas.openxmlformats.org/officeDocument/2006/relationships/hyperlink" Target="http://www.tremco-illbruck.cz/cz/produkty/00672_index.html?markets=10&amp;applications=53&amp;products=1134&amp;char=T" TargetMode="External"/><Relationship Id="rId1" Type="http://schemas.openxmlformats.org/officeDocument/2006/relationships/hyperlink" Target="http://www.elektroudvar.hu/beepitheto-haztartasi-gep/paraelszivo/teleszkopos/teka-tl1-62x-paraelszivo.html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restartkft.hu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://www.butor-vasalat.hu/" TargetMode="External"/><Relationship Id="rId1" Type="http://schemas.openxmlformats.org/officeDocument/2006/relationships/hyperlink" Target="http://www.butor-vasalat.hu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nyforras.hu/elh-landlite-elh-t2-7mm-kompakt-fenycso-minispiral-forma-p--134719349.html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://www.gazdafielectronic.hu/" TargetMode="External"/><Relationship Id="rId1" Type="http://schemas.openxmlformats.org/officeDocument/2006/relationships/hyperlink" Target="http://bolthely.hu/villanyszereles/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http://www.fenyforras.hu/elh-m5w-landlite-01cel847-t2-7mm-kompakt-fenycso-minispiral-forma-p-1815418822.html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forum.index.hu/User/UserDescription?u=976115" TargetMode="External"/><Relationship Id="rId2" Type="http://schemas.openxmlformats.org/officeDocument/2006/relationships/hyperlink" Target="http://www.inter-pellet.com/" TargetMode="External"/><Relationship Id="rId1" Type="http://schemas.openxmlformats.org/officeDocument/2006/relationships/hyperlink" Target="http://forum.index.hu/User/UserDescription?u=324708" TargetMode="External"/><Relationship Id="rId4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monitoringpublic.solaredge.com/solaredge-web/p/site/public?name=NVSolar&amp;locale=en_US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irsasolar.addel.hu/-napelemek/651182-sharp-nd-rb-275-w-polikristalyos-napelem-modul" TargetMode="External"/><Relationship Id="rId1" Type="http://schemas.openxmlformats.org/officeDocument/2006/relationships/hyperlink" Target="http://www.energo-investment.hu/Akcios-termekek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monitoringpublic.solaredge.com/solaredge-web/p/site/public?name=Pecs_Bagoly&amp;locale=en_U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outlinePr summaryBelow="0"/>
  </sheetPr>
  <dimension ref="A1:L422"/>
  <sheetViews>
    <sheetView workbookViewId="0">
      <selection activeCell="A89" sqref="A89"/>
    </sheetView>
  </sheetViews>
  <sheetFormatPr defaultRowHeight="11.25" outlineLevelRow="1" x14ac:dyDescent="0.2"/>
  <cols>
    <col min="1" max="1" width="30" style="200" bestFit="1" customWidth="1"/>
    <col min="2" max="2" width="33.140625" style="201" customWidth="1"/>
    <col min="3" max="3" width="24.85546875" style="201" customWidth="1"/>
    <col min="4" max="4" width="4.5703125" style="200" bestFit="1" customWidth="1"/>
    <col min="5" max="5" width="6.5703125" style="207" bestFit="1" customWidth="1"/>
    <col min="6" max="6" width="9.7109375" style="291" bestFit="1" customWidth="1"/>
    <col min="7" max="7" width="15.42578125" style="207" bestFit="1" customWidth="1"/>
    <col min="8" max="8" width="13.42578125" style="202" customWidth="1"/>
    <col min="9" max="9" width="8.42578125" style="209" bestFit="1" customWidth="1"/>
    <col min="10" max="10" width="9.7109375" style="255" bestFit="1" customWidth="1"/>
    <col min="11" max="11" width="9.85546875" style="208" bestFit="1" customWidth="1"/>
    <col min="12" max="16384" width="9.140625" style="208"/>
  </cols>
  <sheetData>
    <row r="1" spans="1:11" s="202" customFormat="1" ht="12" thickBot="1" x14ac:dyDescent="0.25">
      <c r="A1" s="200"/>
      <c r="B1" s="201" t="s">
        <v>608</v>
      </c>
      <c r="C1" s="201" t="s">
        <v>612</v>
      </c>
      <c r="D1" s="200" t="s">
        <v>798</v>
      </c>
      <c r="E1" s="200" t="s">
        <v>723</v>
      </c>
      <c r="F1" s="291" t="s">
        <v>720</v>
      </c>
      <c r="G1" s="200" t="s">
        <v>621</v>
      </c>
      <c r="H1" s="202" t="s">
        <v>1529</v>
      </c>
      <c r="I1" s="203" t="s">
        <v>1328</v>
      </c>
      <c r="J1" s="204"/>
    </row>
    <row r="2" spans="1:11" ht="12" thickBot="1" x14ac:dyDescent="0.25">
      <c r="B2" s="205" t="s">
        <v>941</v>
      </c>
      <c r="C2" s="206" t="s">
        <v>942</v>
      </c>
      <c r="J2" s="204" t="s">
        <v>1077</v>
      </c>
    </row>
    <row r="3" spans="1:11" ht="12" thickBot="1" x14ac:dyDescent="0.25">
      <c r="A3" s="210">
        <f>G3+Munkadíj!I3</f>
        <v>23866827</v>
      </c>
      <c r="B3" s="338">
        <f>H3</f>
        <v>6951577</v>
      </c>
      <c r="C3" s="338">
        <f>Munkadíj!L3</f>
        <v>2741360</v>
      </c>
      <c r="G3" s="211">
        <f>G6+G36+G67+G95+G129+G175+G185+G195+G246+G308+G323+G330+G343+G356</f>
        <v>18877267</v>
      </c>
      <c r="H3" s="209">
        <f>SUM(H6:H381)</f>
        <v>6951577</v>
      </c>
      <c r="J3" s="211">
        <f>J129+J185+J195</f>
        <v>1686225</v>
      </c>
    </row>
    <row r="4" spans="1:11" ht="12" thickBot="1" x14ac:dyDescent="0.25">
      <c r="A4" s="212"/>
      <c r="B4" s="338">
        <f>B3+C3</f>
        <v>9692937</v>
      </c>
      <c r="C4" s="212" t="s">
        <v>1701</v>
      </c>
      <c r="D4" s="200">
        <v>1</v>
      </c>
      <c r="G4" s="230"/>
      <c r="J4" s="213"/>
    </row>
    <row r="5" spans="1:11" s="216" customFormat="1" ht="12" thickBot="1" x14ac:dyDescent="0.25">
      <c r="A5" s="214"/>
      <c r="B5" s="212"/>
      <c r="C5" s="212"/>
      <c r="D5" s="214"/>
      <c r="E5" s="215"/>
      <c r="F5" s="292"/>
      <c r="G5" s="215"/>
      <c r="H5" s="255"/>
      <c r="I5" s="217"/>
      <c r="J5" s="204"/>
    </row>
    <row r="6" spans="1:11" ht="12" collapsed="1" thickBot="1" x14ac:dyDescent="0.25">
      <c r="A6" s="218" t="s">
        <v>670</v>
      </c>
      <c r="B6" s="219"/>
      <c r="C6" s="219"/>
      <c r="D6" s="220"/>
      <c r="E6" s="221">
        <v>1</v>
      </c>
      <c r="F6" s="273"/>
      <c r="G6" s="223">
        <f>SUM(G8:G34)*E6</f>
        <v>1539518</v>
      </c>
      <c r="J6" s="204"/>
      <c r="K6" s="208">
        <v>17.7</v>
      </c>
    </row>
    <row r="7" spans="1:11" hidden="1" outlineLevel="1" x14ac:dyDescent="0.2">
      <c r="A7" s="224"/>
      <c r="B7" s="224"/>
      <c r="C7" s="224"/>
      <c r="D7" s="224"/>
      <c r="E7" s="224"/>
      <c r="F7" s="293"/>
      <c r="G7" s="224"/>
      <c r="J7" s="204"/>
    </row>
    <row r="8" spans="1:11" hidden="1" outlineLevel="1" x14ac:dyDescent="0.2">
      <c r="A8" s="224" t="s">
        <v>1051</v>
      </c>
      <c r="B8" s="235" t="s">
        <v>1729</v>
      </c>
      <c r="C8" s="235">
        <v>27</v>
      </c>
      <c r="D8" s="269" t="s">
        <v>642</v>
      </c>
      <c r="E8" s="282">
        <v>1500</v>
      </c>
      <c r="F8" s="294">
        <v>354</v>
      </c>
      <c r="G8" s="271">
        <f>E8*F8</f>
        <v>531000</v>
      </c>
      <c r="H8" s="203">
        <f>G8</f>
        <v>531000</v>
      </c>
      <c r="J8" s="204"/>
    </row>
    <row r="9" spans="1:11" hidden="1" outlineLevel="1" x14ac:dyDescent="0.2">
      <c r="A9" s="224" t="s">
        <v>1713</v>
      </c>
      <c r="B9" s="235" t="s">
        <v>1891</v>
      </c>
      <c r="C9" s="235">
        <v>5</v>
      </c>
      <c r="D9" s="269" t="s">
        <v>642</v>
      </c>
      <c r="E9" s="282">
        <v>240</v>
      </c>
      <c r="F9" s="294">
        <v>940</v>
      </c>
      <c r="G9" s="271">
        <f>E9*F9</f>
        <v>225600</v>
      </c>
      <c r="H9" s="203">
        <f>G9</f>
        <v>225600</v>
      </c>
      <c r="J9" s="204"/>
    </row>
    <row r="10" spans="1:11" hidden="1" outlineLevel="1" x14ac:dyDescent="0.2">
      <c r="A10" s="224" t="s">
        <v>1726</v>
      </c>
      <c r="B10" s="235"/>
      <c r="C10" s="235"/>
      <c r="D10" s="235"/>
      <c r="E10" s="235"/>
      <c r="F10" s="295"/>
      <c r="G10" s="235"/>
      <c r="J10" s="204"/>
    </row>
    <row r="11" spans="1:11" hidden="1" outlineLevel="1" x14ac:dyDescent="0.2">
      <c r="A11" s="224"/>
      <c r="B11" s="235"/>
      <c r="C11" s="235"/>
      <c r="D11" s="235"/>
      <c r="E11" s="235"/>
      <c r="F11" s="295"/>
      <c r="G11" s="235"/>
      <c r="J11" s="204"/>
    </row>
    <row r="12" spans="1:11" hidden="1" outlineLevel="1" x14ac:dyDescent="0.2">
      <c r="A12" s="224" t="s">
        <v>1052</v>
      </c>
      <c r="B12" s="235" t="s">
        <v>1645</v>
      </c>
      <c r="C12" s="235">
        <v>7</v>
      </c>
      <c r="D12" s="269" t="s">
        <v>642</v>
      </c>
      <c r="E12" s="282">
        <v>700</v>
      </c>
      <c r="F12" s="294">
        <v>252</v>
      </c>
      <c r="G12" s="271">
        <f>E12*F12</f>
        <v>176400</v>
      </c>
      <c r="H12" s="203">
        <f>G12</f>
        <v>176400</v>
      </c>
      <c r="J12" s="204"/>
    </row>
    <row r="13" spans="1:11" hidden="1" outlineLevel="1" x14ac:dyDescent="0.2">
      <c r="A13" s="224"/>
      <c r="B13" s="235"/>
      <c r="C13" s="235"/>
      <c r="D13" s="235"/>
      <c r="E13" s="235"/>
      <c r="F13" s="295"/>
      <c r="G13" s="235"/>
      <c r="J13" s="204"/>
    </row>
    <row r="14" spans="1:11" hidden="1" outlineLevel="1" x14ac:dyDescent="0.2">
      <c r="A14" s="224"/>
      <c r="B14" s="235" t="s">
        <v>1431</v>
      </c>
      <c r="C14" s="235">
        <v>2</v>
      </c>
      <c r="D14" s="269" t="s">
        <v>642</v>
      </c>
      <c r="E14" s="282">
        <v>800</v>
      </c>
      <c r="F14" s="294">
        <v>66</v>
      </c>
      <c r="G14" s="271">
        <f>E14*F14</f>
        <v>52800</v>
      </c>
      <c r="H14" s="203">
        <f>G14</f>
        <v>52800</v>
      </c>
      <c r="J14" s="204"/>
    </row>
    <row r="15" spans="1:11" hidden="1" outlineLevel="1" x14ac:dyDescent="0.2">
      <c r="A15" s="224"/>
      <c r="B15" s="235" t="s">
        <v>1431</v>
      </c>
      <c r="C15" s="235">
        <v>2</v>
      </c>
      <c r="D15" s="269" t="s">
        <v>642</v>
      </c>
      <c r="E15" s="282">
        <v>720</v>
      </c>
      <c r="F15" s="294">
        <v>81</v>
      </c>
      <c r="G15" s="271">
        <f>E15*F15</f>
        <v>58320</v>
      </c>
      <c r="H15" s="203">
        <f>G15</f>
        <v>58320</v>
      </c>
      <c r="J15" s="204"/>
    </row>
    <row r="16" spans="1:11" hidden="1" outlineLevel="1" x14ac:dyDescent="0.2">
      <c r="A16" s="224"/>
      <c r="B16" s="224"/>
      <c r="C16" s="224"/>
      <c r="D16" s="224"/>
      <c r="E16" s="224"/>
      <c r="F16" s="293"/>
      <c r="G16" s="224"/>
      <c r="J16" s="204"/>
    </row>
    <row r="17" spans="1:10" hidden="1" outlineLevel="1" x14ac:dyDescent="0.2">
      <c r="A17" s="225" t="s">
        <v>1837</v>
      </c>
      <c r="B17" s="224" t="s">
        <v>1646</v>
      </c>
      <c r="C17" s="224">
        <v>14</v>
      </c>
      <c r="D17" s="225" t="s">
        <v>642</v>
      </c>
      <c r="E17" s="283">
        <v>260</v>
      </c>
      <c r="F17" s="296">
        <v>320</v>
      </c>
      <c r="G17" s="271">
        <f>E17*F17</f>
        <v>83200</v>
      </c>
      <c r="H17" s="203">
        <f>G17</f>
        <v>83200</v>
      </c>
      <c r="J17" s="204"/>
    </row>
    <row r="18" spans="1:10" hidden="1" outlineLevel="1" x14ac:dyDescent="0.2">
      <c r="A18" s="225"/>
      <c r="B18" s="224"/>
      <c r="C18" s="224"/>
      <c r="D18" s="225"/>
      <c r="E18" s="226"/>
      <c r="F18" s="296"/>
      <c r="G18" s="227"/>
      <c r="J18" s="204"/>
    </row>
    <row r="19" spans="1:10" hidden="1" outlineLevel="1" x14ac:dyDescent="0.2">
      <c r="A19" s="225" t="s">
        <v>1838</v>
      </c>
      <c r="B19" s="224" t="s">
        <v>1839</v>
      </c>
      <c r="C19" s="224">
        <v>14</v>
      </c>
      <c r="D19" s="225" t="s">
        <v>642</v>
      </c>
      <c r="E19" s="283">
        <v>52</v>
      </c>
      <c r="F19" s="296">
        <v>374</v>
      </c>
      <c r="G19" s="271">
        <f>E19*F19</f>
        <v>19448</v>
      </c>
      <c r="H19" s="203">
        <f>G19</f>
        <v>19448</v>
      </c>
      <c r="J19" s="204"/>
    </row>
    <row r="20" spans="1:10" hidden="1" outlineLevel="1" x14ac:dyDescent="0.2">
      <c r="A20" s="225"/>
      <c r="B20" s="224"/>
      <c r="C20" s="224"/>
      <c r="D20" s="225"/>
      <c r="E20" s="225"/>
      <c r="F20" s="225"/>
      <c r="G20" s="225"/>
      <c r="H20" s="209"/>
      <c r="J20" s="204"/>
    </row>
    <row r="21" spans="1:10" hidden="1" outlineLevel="1" x14ac:dyDescent="0.2">
      <c r="A21" s="225" t="s">
        <v>1905</v>
      </c>
      <c r="B21" s="224" t="s">
        <v>1906</v>
      </c>
      <c r="C21" s="224"/>
      <c r="D21" s="225" t="s">
        <v>642</v>
      </c>
      <c r="E21" s="283">
        <v>1</v>
      </c>
      <c r="F21" s="296">
        <v>200000</v>
      </c>
      <c r="G21" s="271">
        <f>E21*F21</f>
        <v>200000</v>
      </c>
      <c r="H21" s="203">
        <f>G21</f>
        <v>200000</v>
      </c>
      <c r="J21" s="204"/>
    </row>
    <row r="22" spans="1:10" hidden="1" outlineLevel="1" x14ac:dyDescent="0.2">
      <c r="A22" s="225"/>
      <c r="B22" s="224"/>
      <c r="C22" s="224"/>
      <c r="D22" s="225"/>
      <c r="E22" s="226"/>
      <c r="F22" s="296"/>
      <c r="G22" s="227"/>
      <c r="J22" s="204"/>
    </row>
    <row r="23" spans="1:10" hidden="1" outlineLevel="1" x14ac:dyDescent="0.2">
      <c r="A23" s="225" t="s">
        <v>1087</v>
      </c>
      <c r="B23" s="224" t="s">
        <v>1727</v>
      </c>
      <c r="C23" s="224" t="s">
        <v>1899</v>
      </c>
      <c r="D23" s="225" t="s">
        <v>1728</v>
      </c>
      <c r="E23" s="226">
        <v>140</v>
      </c>
      <c r="F23" s="296">
        <v>810</v>
      </c>
      <c r="G23" s="229">
        <f>E23*F23</f>
        <v>113400</v>
      </c>
      <c r="H23" s="203">
        <f>G23</f>
        <v>113400</v>
      </c>
      <c r="J23" s="204"/>
    </row>
    <row r="24" spans="1:10" hidden="1" outlineLevel="1" x14ac:dyDescent="0.2">
      <c r="A24" s="225"/>
      <c r="B24" s="224" t="s">
        <v>54</v>
      </c>
      <c r="C24" s="224" t="s">
        <v>1899</v>
      </c>
      <c r="D24" s="225" t="s">
        <v>1728</v>
      </c>
      <c r="E24" s="226">
        <v>5</v>
      </c>
      <c r="F24" s="296">
        <v>800</v>
      </c>
      <c r="G24" s="229">
        <f>E24*F24</f>
        <v>4000</v>
      </c>
      <c r="H24" s="203">
        <f>G24</f>
        <v>4000</v>
      </c>
      <c r="J24" s="204"/>
    </row>
    <row r="25" spans="1:10" hidden="1" outlineLevel="1" x14ac:dyDescent="0.2">
      <c r="A25" s="225"/>
      <c r="B25" s="224" t="s">
        <v>13</v>
      </c>
      <c r="C25" s="224" t="s">
        <v>1899</v>
      </c>
      <c r="D25" s="225" t="s">
        <v>1728</v>
      </c>
      <c r="E25" s="226">
        <v>11</v>
      </c>
      <c r="F25" s="296">
        <v>430</v>
      </c>
      <c r="G25" s="229">
        <f>E25*F25</f>
        <v>4730</v>
      </c>
      <c r="H25" s="203">
        <f>G25</f>
        <v>4730</v>
      </c>
      <c r="J25" s="204"/>
    </row>
    <row r="26" spans="1:10" hidden="1" outlineLevel="1" x14ac:dyDescent="0.2">
      <c r="A26" s="225"/>
      <c r="B26" s="224"/>
      <c r="C26" s="224" t="s">
        <v>1900</v>
      </c>
      <c r="D26" s="225" t="s">
        <v>1728</v>
      </c>
      <c r="E26" s="226">
        <v>40</v>
      </c>
      <c r="F26" s="296">
        <v>800</v>
      </c>
      <c r="G26" s="229">
        <f>E26*F26</f>
        <v>32000</v>
      </c>
      <c r="H26" s="203">
        <f>G26</f>
        <v>32000</v>
      </c>
      <c r="J26" s="204"/>
    </row>
    <row r="27" spans="1:10" hidden="1" outlineLevel="1" x14ac:dyDescent="0.2">
      <c r="A27" s="225"/>
      <c r="B27" s="224"/>
      <c r="C27" s="224"/>
      <c r="D27" s="225"/>
      <c r="E27" s="226"/>
      <c r="F27" s="296"/>
      <c r="G27" s="229"/>
      <c r="H27" s="203"/>
      <c r="J27" s="204"/>
    </row>
    <row r="28" spans="1:10" hidden="1" outlineLevel="1" x14ac:dyDescent="0.2">
      <c r="A28" s="225"/>
      <c r="B28" s="224" t="s">
        <v>1898</v>
      </c>
      <c r="C28" s="224" t="s">
        <v>1899</v>
      </c>
      <c r="D28" s="225" t="s">
        <v>1728</v>
      </c>
      <c r="E28" s="226">
        <v>6</v>
      </c>
      <c r="F28" s="296">
        <v>2270</v>
      </c>
      <c r="G28" s="229">
        <f>E28*F28</f>
        <v>13620</v>
      </c>
      <c r="H28" s="203">
        <f>G28</f>
        <v>13620</v>
      </c>
      <c r="J28" s="204"/>
    </row>
    <row r="29" spans="1:10" hidden="1" outlineLevel="1" x14ac:dyDescent="0.2">
      <c r="A29" s="225"/>
      <c r="B29" s="224"/>
      <c r="C29" s="235"/>
      <c r="D29" s="225"/>
      <c r="E29" s="226"/>
      <c r="F29" s="296"/>
      <c r="G29" s="229"/>
      <c r="J29" s="204"/>
    </row>
    <row r="30" spans="1:10" hidden="1" outlineLevel="1" x14ac:dyDescent="0.2">
      <c r="A30" s="225"/>
      <c r="B30" s="224" t="s">
        <v>1936</v>
      </c>
      <c r="C30" s="235"/>
      <c r="D30" s="225" t="s">
        <v>642</v>
      </c>
      <c r="E30" s="226">
        <v>1</v>
      </c>
      <c r="F30" s="296">
        <v>25000</v>
      </c>
      <c r="G30" s="229">
        <f>E30*F30</f>
        <v>25000</v>
      </c>
      <c r="H30" s="203">
        <f>G30</f>
        <v>25000</v>
      </c>
      <c r="J30" s="204"/>
    </row>
    <row r="31" spans="1:10" hidden="1" outlineLevel="1" x14ac:dyDescent="0.2">
      <c r="A31" s="225"/>
      <c r="B31" s="224"/>
      <c r="C31" s="228"/>
      <c r="D31" s="225"/>
      <c r="E31" s="226"/>
      <c r="F31" s="296"/>
      <c r="G31" s="227"/>
      <c r="J31" s="204"/>
    </row>
    <row r="32" spans="1:10" hidden="1" outlineLevel="1" x14ac:dyDescent="0.2">
      <c r="A32" s="225" t="s">
        <v>707</v>
      </c>
      <c r="B32" s="224" t="s">
        <v>1678</v>
      </c>
      <c r="C32" s="228" t="s">
        <v>1050</v>
      </c>
      <c r="D32" s="225" t="s">
        <v>1728</v>
      </c>
      <c r="E32" s="226">
        <v>0</v>
      </c>
      <c r="F32" s="296">
        <v>1200</v>
      </c>
      <c r="G32" s="227">
        <f>E32*F32</f>
        <v>0</v>
      </c>
      <c r="J32" s="204"/>
    </row>
    <row r="33" spans="1:11" hidden="1" outlineLevel="1" x14ac:dyDescent="0.2">
      <c r="A33" s="225" t="s">
        <v>1920</v>
      </c>
      <c r="B33" s="224" t="s">
        <v>1090</v>
      </c>
      <c r="C33" s="228" t="s">
        <v>1730</v>
      </c>
      <c r="D33" s="225"/>
      <c r="E33" s="226"/>
      <c r="F33" s="296"/>
      <c r="G33" s="227"/>
      <c r="J33" s="204"/>
    </row>
    <row r="34" spans="1:11" hidden="1" outlineLevel="1" x14ac:dyDescent="0.2">
      <c r="A34" s="225"/>
      <c r="B34" s="224"/>
      <c r="C34" s="224"/>
      <c r="D34" s="225"/>
      <c r="E34" s="226"/>
      <c r="F34" s="296"/>
      <c r="G34" s="227"/>
      <c r="J34" s="204"/>
    </row>
    <row r="35" spans="1:11" ht="12" thickBot="1" x14ac:dyDescent="0.25">
      <c r="F35" s="299"/>
      <c r="G35" s="230"/>
      <c r="J35" s="204"/>
      <c r="K35" s="208">
        <v>17.7</v>
      </c>
    </row>
    <row r="36" spans="1:11" ht="12" collapsed="1" thickBot="1" x14ac:dyDescent="0.25">
      <c r="A36" s="218" t="s">
        <v>671</v>
      </c>
      <c r="B36" s="219"/>
      <c r="C36" s="219"/>
      <c r="D36" s="220"/>
      <c r="E36" s="221">
        <v>1</v>
      </c>
      <c r="F36" s="275"/>
      <c r="G36" s="223">
        <f>SUM(G38:G65)*E36</f>
        <v>2551638</v>
      </c>
      <c r="J36" s="204"/>
      <c r="K36" s="208">
        <v>9.1</v>
      </c>
    </row>
    <row r="37" spans="1:11" hidden="1" outlineLevel="1" x14ac:dyDescent="0.2">
      <c r="A37" s="228"/>
      <c r="B37" s="228"/>
      <c r="C37" s="228"/>
      <c r="D37" s="228"/>
      <c r="E37" s="228"/>
      <c r="F37" s="301"/>
      <c r="G37" s="228"/>
      <c r="J37" s="204"/>
    </row>
    <row r="38" spans="1:11" hidden="1" outlineLevel="1" x14ac:dyDescent="0.2">
      <c r="A38" s="225" t="s">
        <v>625</v>
      </c>
      <c r="B38" s="228" t="s">
        <v>781</v>
      </c>
      <c r="C38" s="224" t="s">
        <v>620</v>
      </c>
      <c r="D38" s="225" t="s">
        <v>623</v>
      </c>
      <c r="E38" s="226">
        <v>50</v>
      </c>
      <c r="F38" s="296">
        <v>16000</v>
      </c>
      <c r="G38" s="229">
        <f>E38*F38</f>
        <v>800000</v>
      </c>
      <c r="H38" s="203">
        <f>G38</f>
        <v>800000</v>
      </c>
      <c r="J38" s="204"/>
    </row>
    <row r="39" spans="1:11" hidden="1" outlineLevel="1" x14ac:dyDescent="0.2">
      <c r="A39" s="225"/>
      <c r="B39" s="228"/>
      <c r="C39" s="224"/>
      <c r="D39" s="225"/>
      <c r="E39" s="226"/>
      <c r="F39" s="296"/>
      <c r="G39" s="227"/>
      <c r="J39" s="204"/>
    </row>
    <row r="40" spans="1:11" hidden="1" outlineLevel="1" x14ac:dyDescent="0.2">
      <c r="A40" s="225" t="s">
        <v>680</v>
      </c>
      <c r="B40" s="228" t="s">
        <v>781</v>
      </c>
      <c r="C40" s="224" t="s">
        <v>620</v>
      </c>
      <c r="D40" s="225" t="s">
        <v>623</v>
      </c>
      <c r="E40" s="226">
        <v>7</v>
      </c>
      <c r="F40" s="296">
        <v>16000</v>
      </c>
      <c r="G40" s="229">
        <f>E40*F40</f>
        <v>112000</v>
      </c>
      <c r="H40" s="203">
        <f>G40</f>
        <v>112000</v>
      </c>
      <c r="J40" s="204"/>
    </row>
    <row r="41" spans="1:11" hidden="1" outlineLevel="1" x14ac:dyDescent="0.2">
      <c r="A41" s="225"/>
      <c r="B41" s="228"/>
      <c r="C41" s="224"/>
      <c r="D41" s="225"/>
      <c r="E41" s="226"/>
      <c r="F41" s="296"/>
      <c r="G41" s="227"/>
      <c r="J41" s="204"/>
    </row>
    <row r="42" spans="1:11" hidden="1" outlineLevel="1" x14ac:dyDescent="0.2">
      <c r="A42" s="225" t="s">
        <v>624</v>
      </c>
      <c r="B42" s="228" t="s">
        <v>781</v>
      </c>
      <c r="C42" s="224" t="s">
        <v>667</v>
      </c>
      <c r="D42" s="225" t="s">
        <v>623</v>
      </c>
      <c r="E42" s="226">
        <v>18</v>
      </c>
      <c r="F42" s="296">
        <v>16000</v>
      </c>
      <c r="G42" s="229">
        <f>E42*F42</f>
        <v>288000</v>
      </c>
      <c r="H42" s="203">
        <f>G42</f>
        <v>288000</v>
      </c>
      <c r="J42" s="204"/>
    </row>
    <row r="43" spans="1:11" hidden="1" outlineLevel="1" x14ac:dyDescent="0.2">
      <c r="A43" s="225"/>
      <c r="B43" s="224"/>
      <c r="C43" s="224"/>
      <c r="D43" s="225"/>
      <c r="E43" s="226"/>
      <c r="F43" s="296"/>
      <c r="G43" s="227"/>
      <c r="J43" s="204"/>
    </row>
    <row r="44" spans="1:11" hidden="1" outlineLevel="1" x14ac:dyDescent="0.2">
      <c r="A44" s="225" t="s">
        <v>1836</v>
      </c>
      <c r="B44" s="228" t="s">
        <v>781</v>
      </c>
      <c r="C44" s="224" t="s">
        <v>620</v>
      </c>
      <c r="D44" s="225" t="s">
        <v>623</v>
      </c>
      <c r="E44" s="226">
        <v>6</v>
      </c>
      <c r="F44" s="296">
        <v>16000</v>
      </c>
      <c r="G44" s="229">
        <f>E44*F44</f>
        <v>96000</v>
      </c>
      <c r="H44" s="203">
        <f>G44</f>
        <v>96000</v>
      </c>
      <c r="J44" s="204"/>
    </row>
    <row r="45" spans="1:11" hidden="1" outlineLevel="1" x14ac:dyDescent="0.2">
      <c r="A45" s="225"/>
      <c r="B45" s="235"/>
      <c r="C45" s="224"/>
      <c r="D45" s="225"/>
      <c r="E45" s="226"/>
      <c r="F45" s="296"/>
      <c r="G45" s="227"/>
      <c r="J45" s="204"/>
    </row>
    <row r="46" spans="1:11" hidden="1" outlineLevel="1" x14ac:dyDescent="0.2">
      <c r="A46" s="225" t="s">
        <v>1434</v>
      </c>
      <c r="B46" s="228" t="s">
        <v>781</v>
      </c>
      <c r="C46" s="224" t="s">
        <v>1054</v>
      </c>
      <c r="D46" s="225" t="s">
        <v>623</v>
      </c>
      <c r="E46" s="226">
        <v>9</v>
      </c>
      <c r="F46" s="296">
        <v>16000</v>
      </c>
      <c r="G46" s="229">
        <f>E46*F46</f>
        <v>144000</v>
      </c>
      <c r="H46" s="203">
        <f>G46</f>
        <v>144000</v>
      </c>
      <c r="J46" s="204"/>
    </row>
    <row r="47" spans="1:11" hidden="1" outlineLevel="1" x14ac:dyDescent="0.2">
      <c r="A47" s="225"/>
      <c r="B47" s="228"/>
      <c r="C47" s="224"/>
      <c r="D47" s="225"/>
      <c r="E47" s="226"/>
      <c r="F47" s="296"/>
      <c r="G47" s="229"/>
      <c r="J47" s="204"/>
    </row>
    <row r="48" spans="1:11" hidden="1" outlineLevel="1" x14ac:dyDescent="0.2">
      <c r="A48" s="225"/>
      <c r="B48" s="228"/>
      <c r="C48" s="224" t="s">
        <v>1863</v>
      </c>
      <c r="D48" s="225" t="s">
        <v>642</v>
      </c>
      <c r="E48" s="226">
        <v>0</v>
      </c>
      <c r="F48" s="296">
        <v>289600</v>
      </c>
      <c r="G48" s="229">
        <f>E48*F48</f>
        <v>0</v>
      </c>
      <c r="J48" s="204"/>
    </row>
    <row r="49" spans="1:10" hidden="1" outlineLevel="1" x14ac:dyDescent="0.2">
      <c r="A49" s="225"/>
      <c r="B49" s="228"/>
      <c r="C49" s="224" t="s">
        <v>1517</v>
      </c>
      <c r="D49" s="225" t="s">
        <v>642</v>
      </c>
      <c r="E49" s="226">
        <v>0</v>
      </c>
      <c r="F49" s="296">
        <v>790160</v>
      </c>
      <c r="G49" s="229">
        <f>E49*F49</f>
        <v>0</v>
      </c>
      <c r="J49" s="204"/>
    </row>
    <row r="50" spans="1:10" hidden="1" outlineLevel="1" x14ac:dyDescent="0.2">
      <c r="A50" s="225"/>
      <c r="B50" s="228"/>
      <c r="C50" s="224" t="s">
        <v>14</v>
      </c>
      <c r="D50" s="225" t="s">
        <v>642</v>
      </c>
      <c r="E50" s="226">
        <v>0</v>
      </c>
      <c r="F50" s="296">
        <v>347500</v>
      </c>
      <c r="G50" s="229">
        <f>E50*F50</f>
        <v>0</v>
      </c>
      <c r="J50" s="204"/>
    </row>
    <row r="51" spans="1:10" hidden="1" outlineLevel="1" x14ac:dyDescent="0.2">
      <c r="A51" s="225"/>
      <c r="B51" s="224"/>
      <c r="C51" s="224"/>
      <c r="D51" s="225"/>
      <c r="E51" s="226"/>
      <c r="F51" s="296"/>
      <c r="G51" s="227"/>
      <c r="J51" s="204"/>
    </row>
    <row r="52" spans="1:10" hidden="1" outlineLevel="1" x14ac:dyDescent="0.2">
      <c r="A52" s="225" t="s">
        <v>1055</v>
      </c>
      <c r="B52" s="224"/>
      <c r="C52" s="224"/>
      <c r="D52" s="225" t="s">
        <v>642</v>
      </c>
      <c r="E52" s="226">
        <v>1</v>
      </c>
      <c r="F52" s="296">
        <v>671413</v>
      </c>
      <c r="G52" s="229">
        <f>E52*F52</f>
        <v>671413</v>
      </c>
      <c r="H52" s="203">
        <f>G52</f>
        <v>671413</v>
      </c>
      <c r="J52" s="204"/>
    </row>
    <row r="53" spans="1:10" hidden="1" outlineLevel="1" x14ac:dyDescent="0.2">
      <c r="A53" s="225"/>
      <c r="B53" s="224"/>
      <c r="C53" s="224"/>
      <c r="D53" s="225"/>
      <c r="E53" s="226"/>
      <c r="F53" s="296"/>
      <c r="G53" s="229"/>
      <c r="H53" s="203"/>
      <c r="J53" s="204"/>
    </row>
    <row r="54" spans="1:10" hidden="1" outlineLevel="1" x14ac:dyDescent="0.2">
      <c r="A54" s="225" t="s">
        <v>89</v>
      </c>
      <c r="B54" s="224"/>
      <c r="C54" s="224"/>
      <c r="D54" s="225" t="s">
        <v>642</v>
      </c>
      <c r="E54" s="226">
        <v>1</v>
      </c>
      <c r="F54" s="296">
        <v>100000</v>
      </c>
      <c r="G54" s="229">
        <f>E54*F54</f>
        <v>100000</v>
      </c>
      <c r="H54" s="203">
        <f>G54</f>
        <v>100000</v>
      </c>
      <c r="J54" s="204"/>
    </row>
    <row r="55" spans="1:10" hidden="1" outlineLevel="1" x14ac:dyDescent="0.2">
      <c r="A55" s="225"/>
      <c r="B55" s="224"/>
      <c r="C55" s="224"/>
      <c r="D55" s="225"/>
      <c r="E55" s="226"/>
      <c r="F55" s="296"/>
      <c r="G55" s="227"/>
      <c r="J55" s="204"/>
    </row>
    <row r="56" spans="1:10" s="216" customFormat="1" hidden="1" outlineLevel="1" x14ac:dyDescent="0.2">
      <c r="A56" s="225" t="s">
        <v>617</v>
      </c>
      <c r="B56" s="228" t="s">
        <v>3</v>
      </c>
      <c r="C56" s="224"/>
      <c r="D56" s="225" t="s">
        <v>642</v>
      </c>
      <c r="E56" s="226">
        <v>1</v>
      </c>
      <c r="F56" s="296">
        <v>78225</v>
      </c>
      <c r="G56" s="229">
        <f>E56*F56</f>
        <v>78225</v>
      </c>
      <c r="H56" s="203">
        <f>G56</f>
        <v>78225</v>
      </c>
      <c r="I56" s="217"/>
      <c r="J56" s="255"/>
    </row>
    <row r="57" spans="1:10" s="216" customFormat="1" hidden="1" outlineLevel="1" x14ac:dyDescent="0.2">
      <c r="A57" s="225"/>
      <c r="B57" s="228" t="s">
        <v>4</v>
      </c>
      <c r="C57" s="224" t="s">
        <v>196</v>
      </c>
      <c r="D57" s="225" t="s">
        <v>642</v>
      </c>
      <c r="E57" s="226">
        <v>1</v>
      </c>
      <c r="F57" s="296">
        <v>12900</v>
      </c>
      <c r="G57" s="229">
        <f>E57*F57</f>
        <v>12900</v>
      </c>
      <c r="H57" s="203">
        <f>G57</f>
        <v>12900</v>
      </c>
      <c r="I57" s="217"/>
      <c r="J57" s="255"/>
    </row>
    <row r="58" spans="1:10" hidden="1" outlineLevel="1" x14ac:dyDescent="0.2">
      <c r="A58" s="225"/>
      <c r="B58" s="228"/>
      <c r="C58" s="224"/>
      <c r="D58" s="225"/>
      <c r="E58" s="226"/>
      <c r="F58" s="296"/>
      <c r="G58" s="227"/>
      <c r="J58" s="204"/>
    </row>
    <row r="59" spans="1:10" hidden="1" outlineLevel="1" x14ac:dyDescent="0.2">
      <c r="A59" s="225" t="s">
        <v>715</v>
      </c>
      <c r="B59" s="228"/>
      <c r="C59" s="224"/>
      <c r="D59" s="225" t="s">
        <v>623</v>
      </c>
      <c r="E59" s="226">
        <v>1</v>
      </c>
      <c r="F59" s="296">
        <v>47800</v>
      </c>
      <c r="G59" s="229">
        <f>E59*F59</f>
        <v>47800</v>
      </c>
      <c r="H59" s="203">
        <f>G59</f>
        <v>47800</v>
      </c>
      <c r="J59" s="204"/>
    </row>
    <row r="60" spans="1:10" hidden="1" outlineLevel="1" x14ac:dyDescent="0.2">
      <c r="A60" s="225"/>
      <c r="B60" s="228"/>
      <c r="C60" s="224"/>
      <c r="D60" s="225" t="s">
        <v>623</v>
      </c>
      <c r="E60" s="226">
        <v>0.5</v>
      </c>
      <c r="F60" s="296">
        <v>47800</v>
      </c>
      <c r="G60" s="229">
        <f>E60*F60</f>
        <v>23900</v>
      </c>
      <c r="H60" s="203">
        <f>G60</f>
        <v>23900</v>
      </c>
      <c r="J60" s="204"/>
    </row>
    <row r="61" spans="1:10" hidden="1" outlineLevel="1" x14ac:dyDescent="0.2">
      <c r="A61" s="225"/>
      <c r="B61" s="228"/>
      <c r="C61" s="224"/>
      <c r="D61" s="225"/>
      <c r="E61" s="226"/>
      <c r="F61" s="296"/>
      <c r="G61" s="296"/>
      <c r="H61" s="203"/>
      <c r="J61" s="204"/>
    </row>
    <row r="62" spans="1:10" hidden="1" outlineLevel="1" x14ac:dyDescent="0.2">
      <c r="A62" s="225" t="s">
        <v>770</v>
      </c>
      <c r="B62" s="228" t="s">
        <v>787</v>
      </c>
      <c r="C62" s="224"/>
      <c r="D62" s="225" t="s">
        <v>790</v>
      </c>
      <c r="E62" s="226">
        <v>2</v>
      </c>
      <c r="F62" s="296">
        <v>8700</v>
      </c>
      <c r="G62" s="229">
        <f>E62*F62</f>
        <v>17400</v>
      </c>
      <c r="H62" s="203">
        <f>G62</f>
        <v>17400</v>
      </c>
      <c r="J62" s="204"/>
    </row>
    <row r="63" spans="1:10" hidden="1" outlineLevel="1" x14ac:dyDescent="0.2">
      <c r="A63" s="225"/>
      <c r="B63" s="228"/>
      <c r="C63" s="224"/>
      <c r="D63" s="225"/>
      <c r="E63" s="226"/>
      <c r="F63" s="296"/>
      <c r="G63" s="296"/>
      <c r="J63" s="204"/>
    </row>
    <row r="64" spans="1:10" hidden="1" outlineLevel="1" x14ac:dyDescent="0.2">
      <c r="A64" s="225" t="s">
        <v>619</v>
      </c>
      <c r="B64" s="228" t="s">
        <v>786</v>
      </c>
      <c r="C64" s="224" t="s">
        <v>1432</v>
      </c>
      <c r="D64" s="225" t="s">
        <v>623</v>
      </c>
      <c r="E64" s="226">
        <v>10</v>
      </c>
      <c r="F64" s="296">
        <v>16000</v>
      </c>
      <c r="G64" s="263">
        <f>E64*F64</f>
        <v>160000</v>
      </c>
      <c r="J64" s="204"/>
    </row>
    <row r="65" spans="1:11" hidden="1" outlineLevel="1" x14ac:dyDescent="0.2">
      <c r="A65" s="225"/>
      <c r="B65" s="228"/>
      <c r="C65" s="224"/>
      <c r="D65" s="225"/>
      <c r="E65" s="226"/>
      <c r="F65" s="296"/>
      <c r="G65" s="227"/>
      <c r="J65" s="204"/>
    </row>
    <row r="66" spans="1:11" s="216" customFormat="1" ht="12" thickBot="1" x14ac:dyDescent="0.25">
      <c r="A66" s="214"/>
      <c r="B66" s="236"/>
      <c r="C66" s="237"/>
      <c r="D66" s="214"/>
      <c r="E66" s="215"/>
      <c r="F66" s="302"/>
      <c r="G66" s="238"/>
      <c r="H66" s="255"/>
      <c r="I66" s="209"/>
      <c r="J66" s="204"/>
      <c r="K66" s="216">
        <v>4.2</v>
      </c>
    </row>
    <row r="67" spans="1:11" ht="12" thickBot="1" x14ac:dyDescent="0.25">
      <c r="A67" s="218" t="s">
        <v>668</v>
      </c>
      <c r="B67" s="219"/>
      <c r="C67" s="219"/>
      <c r="D67" s="220"/>
      <c r="E67" s="221">
        <v>1</v>
      </c>
      <c r="F67" s="275"/>
      <c r="G67" s="223">
        <f>SUM(G69:G93)*E67</f>
        <v>540107</v>
      </c>
      <c r="J67" s="204"/>
      <c r="K67" s="208">
        <v>4.2</v>
      </c>
    </row>
    <row r="68" spans="1:11" outlineLevel="1" x14ac:dyDescent="0.2">
      <c r="A68" s="225"/>
      <c r="B68" s="225"/>
      <c r="C68" s="225"/>
      <c r="D68" s="225"/>
      <c r="E68" s="225"/>
      <c r="F68" s="298"/>
      <c r="G68" s="225"/>
      <c r="J68" s="204"/>
      <c r="K68" s="260">
        <f>SUM(K6:K67)</f>
        <v>52.900000000000006</v>
      </c>
    </row>
    <row r="69" spans="1:11" outlineLevel="1" x14ac:dyDescent="0.2">
      <c r="A69" s="225" t="s">
        <v>625</v>
      </c>
      <c r="B69" s="224" t="s">
        <v>1680</v>
      </c>
      <c r="C69" s="224" t="s">
        <v>1683</v>
      </c>
      <c r="D69" s="225" t="s">
        <v>677</v>
      </c>
      <c r="E69" s="330">
        <v>600</v>
      </c>
      <c r="F69" s="329">
        <v>0</v>
      </c>
      <c r="G69" s="229">
        <f>E69*F69</f>
        <v>0</v>
      </c>
      <c r="H69" s="203"/>
      <c r="J69" s="204"/>
    </row>
    <row r="70" spans="1:11" outlineLevel="1" x14ac:dyDescent="0.2">
      <c r="A70" s="225" t="s">
        <v>1433</v>
      </c>
      <c r="B70" s="224" t="s">
        <v>676</v>
      </c>
      <c r="C70" s="224" t="s">
        <v>1682</v>
      </c>
      <c r="D70" s="225" t="s">
        <v>677</v>
      </c>
      <c r="E70" s="331">
        <v>500</v>
      </c>
      <c r="F70" s="328">
        <v>0</v>
      </c>
      <c r="G70" s="229">
        <f>E70*F70</f>
        <v>0</v>
      </c>
      <c r="H70" s="203"/>
      <c r="J70" s="204"/>
    </row>
    <row r="71" spans="1:11" outlineLevel="1" x14ac:dyDescent="0.2">
      <c r="A71" s="225"/>
      <c r="B71" s="224"/>
      <c r="C71" s="224" t="s">
        <v>1518</v>
      </c>
      <c r="D71" s="225" t="s">
        <v>642</v>
      </c>
      <c r="E71" s="226">
        <v>1</v>
      </c>
      <c r="F71" s="296">
        <v>0</v>
      </c>
      <c r="G71" s="229">
        <f>E71*F71</f>
        <v>0</v>
      </c>
      <c r="H71" s="203"/>
      <c r="J71" s="204"/>
    </row>
    <row r="72" spans="1:11" outlineLevel="1" x14ac:dyDescent="0.2">
      <c r="A72" s="225" t="s">
        <v>1679</v>
      </c>
      <c r="B72" s="224" t="s">
        <v>1686</v>
      </c>
      <c r="C72" s="224" t="s">
        <v>1684</v>
      </c>
      <c r="D72" s="225" t="s">
        <v>677</v>
      </c>
      <c r="E72" s="331">
        <v>450</v>
      </c>
      <c r="F72" s="328">
        <v>0</v>
      </c>
      <c r="G72" s="229">
        <f>E72*F72</f>
        <v>0</v>
      </c>
      <c r="H72" s="203"/>
      <c r="J72" s="204"/>
    </row>
    <row r="73" spans="1:11" outlineLevel="1" x14ac:dyDescent="0.2">
      <c r="A73" s="225" t="s">
        <v>1433</v>
      </c>
      <c r="B73" s="224" t="s">
        <v>1687</v>
      </c>
      <c r="C73" s="224" t="s">
        <v>1681</v>
      </c>
      <c r="D73" s="225" t="s">
        <v>677</v>
      </c>
      <c r="E73" s="331">
        <v>450</v>
      </c>
      <c r="F73" s="328">
        <v>0</v>
      </c>
      <c r="G73" s="229">
        <f>E73*F73</f>
        <v>0</v>
      </c>
      <c r="H73" s="203"/>
      <c r="J73" s="204"/>
    </row>
    <row r="74" spans="1:11" outlineLevel="1" x14ac:dyDescent="0.2">
      <c r="A74" s="225"/>
      <c r="B74" s="224"/>
      <c r="C74" s="224"/>
      <c r="D74" s="225"/>
      <c r="E74" s="226"/>
      <c r="F74" s="296"/>
      <c r="G74" s="229"/>
      <c r="H74" s="203"/>
      <c r="J74" s="204"/>
    </row>
    <row r="75" spans="1:11" outlineLevel="1" x14ac:dyDescent="0.2">
      <c r="A75" s="225" t="s">
        <v>679</v>
      </c>
      <c r="B75" s="224" t="s">
        <v>1504</v>
      </c>
      <c r="C75" s="224" t="s">
        <v>1057</v>
      </c>
      <c r="D75" s="225" t="s">
        <v>642</v>
      </c>
      <c r="E75" s="226">
        <v>13</v>
      </c>
      <c r="F75" s="296">
        <v>2900</v>
      </c>
      <c r="G75" s="229">
        <f>E75*F75</f>
        <v>37700</v>
      </c>
      <c r="H75" s="203"/>
      <c r="J75" s="204"/>
    </row>
    <row r="76" spans="1:11" s="216" customFormat="1" outlineLevel="1" x14ac:dyDescent="0.2">
      <c r="A76" s="225"/>
      <c r="B76" s="224"/>
      <c r="C76" s="224"/>
      <c r="D76" s="225"/>
      <c r="E76" s="226"/>
      <c r="F76" s="296"/>
      <c r="G76" s="227"/>
      <c r="H76" s="203"/>
      <c r="I76" s="217"/>
      <c r="J76" s="255"/>
    </row>
    <row r="77" spans="1:11" outlineLevel="1" x14ac:dyDescent="0.2">
      <c r="A77" s="225" t="s">
        <v>1056</v>
      </c>
      <c r="B77" s="224" t="s">
        <v>1061</v>
      </c>
      <c r="C77" s="224"/>
      <c r="D77" s="225" t="s">
        <v>677</v>
      </c>
      <c r="E77" s="330">
        <v>150</v>
      </c>
      <c r="F77" s="329">
        <v>0</v>
      </c>
      <c r="G77" s="229">
        <f>E77*F77</f>
        <v>0</v>
      </c>
      <c r="H77" s="203"/>
      <c r="J77" s="204"/>
    </row>
    <row r="78" spans="1:11" outlineLevel="1" x14ac:dyDescent="0.2">
      <c r="A78" s="225"/>
      <c r="B78" s="224" t="s">
        <v>1062</v>
      </c>
      <c r="C78" s="224" t="s">
        <v>1685</v>
      </c>
      <c r="D78" s="225" t="s">
        <v>677</v>
      </c>
      <c r="E78" s="331">
        <v>540</v>
      </c>
      <c r="F78" s="328">
        <v>0</v>
      </c>
      <c r="G78" s="229">
        <f>E78*F78</f>
        <v>0</v>
      </c>
      <c r="H78" s="203"/>
      <c r="J78" s="204"/>
    </row>
    <row r="79" spans="1:11" outlineLevel="1" x14ac:dyDescent="0.2">
      <c r="A79" s="225"/>
      <c r="B79" s="224"/>
      <c r="C79" s="224"/>
      <c r="D79" s="225"/>
      <c r="E79" s="226"/>
      <c r="F79" s="296"/>
      <c r="G79" s="229"/>
      <c r="H79" s="203"/>
      <c r="J79" s="204"/>
    </row>
    <row r="80" spans="1:11" outlineLevel="1" x14ac:dyDescent="0.2">
      <c r="A80" s="225" t="s">
        <v>678</v>
      </c>
      <c r="B80" s="224" t="s">
        <v>1680</v>
      </c>
      <c r="C80" s="224" t="s">
        <v>1683</v>
      </c>
      <c r="D80" s="225" t="s">
        <v>677</v>
      </c>
      <c r="E80" s="330">
        <v>450</v>
      </c>
      <c r="F80" s="329">
        <v>0</v>
      </c>
      <c r="G80" s="229">
        <f>E80*F80</f>
        <v>0</v>
      </c>
      <c r="H80" s="203"/>
      <c r="J80" s="204"/>
    </row>
    <row r="81" spans="1:10" outlineLevel="1" x14ac:dyDescent="0.2">
      <c r="A81" s="225" t="s">
        <v>1433</v>
      </c>
      <c r="B81" s="224" t="s">
        <v>1688</v>
      </c>
      <c r="C81" s="224" t="s">
        <v>1689</v>
      </c>
      <c r="D81" s="225" t="s">
        <v>677</v>
      </c>
      <c r="E81" s="331">
        <v>300</v>
      </c>
      <c r="F81" s="328">
        <v>0</v>
      </c>
      <c r="G81" s="229">
        <f>E81*F81</f>
        <v>0</v>
      </c>
      <c r="H81" s="203"/>
      <c r="J81" s="204"/>
    </row>
    <row r="82" spans="1:10" outlineLevel="1" x14ac:dyDescent="0.2">
      <c r="A82" s="225"/>
      <c r="B82" s="224"/>
      <c r="C82" s="224"/>
      <c r="D82" s="225"/>
      <c r="E82" s="226"/>
      <c r="F82" s="296"/>
      <c r="G82" s="229"/>
      <c r="H82" s="203"/>
      <c r="J82" s="204"/>
    </row>
    <row r="83" spans="1:10" outlineLevel="1" x14ac:dyDescent="0.2">
      <c r="A83" s="225"/>
      <c r="B83" s="224" t="s">
        <v>90</v>
      </c>
      <c r="C83" s="224" t="s">
        <v>93</v>
      </c>
      <c r="D83" s="225" t="s">
        <v>677</v>
      </c>
      <c r="E83" s="226">
        <v>2100</v>
      </c>
      <c r="F83" s="296">
        <v>57</v>
      </c>
      <c r="G83" s="229">
        <f>E83*F83</f>
        <v>119700</v>
      </c>
      <c r="H83" s="203">
        <f>G83</f>
        <v>119700</v>
      </c>
      <c r="J83" s="204"/>
    </row>
    <row r="84" spans="1:10" outlineLevel="1" x14ac:dyDescent="0.2">
      <c r="A84" s="225"/>
      <c r="B84" s="224" t="s">
        <v>91</v>
      </c>
      <c r="C84" s="224" t="s">
        <v>94</v>
      </c>
      <c r="D84" s="225" t="s">
        <v>677</v>
      </c>
      <c r="E84" s="226">
        <v>600</v>
      </c>
      <c r="F84" s="296">
        <v>114</v>
      </c>
      <c r="G84" s="229">
        <f>E84*F84</f>
        <v>68400</v>
      </c>
      <c r="H84" s="203">
        <f>G84</f>
        <v>68400</v>
      </c>
      <c r="J84" s="204"/>
    </row>
    <row r="85" spans="1:10" outlineLevel="1" x14ac:dyDescent="0.2">
      <c r="A85" s="225"/>
      <c r="B85" s="224" t="s">
        <v>91</v>
      </c>
      <c r="C85" s="224" t="s">
        <v>94</v>
      </c>
      <c r="D85" s="225" t="s">
        <v>677</v>
      </c>
      <c r="E85" s="226">
        <v>600</v>
      </c>
      <c r="F85" s="296">
        <v>114</v>
      </c>
      <c r="G85" s="229">
        <f>E85*F85</f>
        <v>68400</v>
      </c>
      <c r="H85" s="203">
        <f>G85</f>
        <v>68400</v>
      </c>
      <c r="J85" s="204"/>
    </row>
    <row r="86" spans="1:10" outlineLevel="1" x14ac:dyDescent="0.2">
      <c r="A86" s="225"/>
      <c r="B86" s="224" t="s">
        <v>91</v>
      </c>
      <c r="C86" s="224" t="s">
        <v>95</v>
      </c>
      <c r="D86" s="225" t="s">
        <v>677</v>
      </c>
      <c r="E86" s="226">
        <v>300</v>
      </c>
      <c r="F86" s="296">
        <v>109</v>
      </c>
      <c r="G86" s="229">
        <f>E86*F86</f>
        <v>32700</v>
      </c>
      <c r="H86" s="203">
        <f>G86</f>
        <v>32700</v>
      </c>
      <c r="J86" s="204"/>
    </row>
    <row r="87" spans="1:10" outlineLevel="1" x14ac:dyDescent="0.2">
      <c r="A87" s="225" t="s">
        <v>749</v>
      </c>
      <c r="B87" s="224"/>
      <c r="C87" s="224"/>
      <c r="D87" s="225" t="s">
        <v>656</v>
      </c>
      <c r="E87" s="226">
        <v>25</v>
      </c>
      <c r="F87" s="296">
        <v>363</v>
      </c>
      <c r="G87" s="229">
        <f>E87*F87</f>
        <v>9075</v>
      </c>
      <c r="H87" s="203">
        <f>G87</f>
        <v>9075</v>
      </c>
      <c r="J87" s="204"/>
    </row>
    <row r="88" spans="1:10" outlineLevel="1" x14ac:dyDescent="0.2">
      <c r="A88" s="225"/>
      <c r="B88" s="224"/>
      <c r="C88" s="224"/>
      <c r="D88" s="225"/>
      <c r="E88" s="226"/>
      <c r="F88" s="296"/>
      <c r="G88" s="229"/>
      <c r="H88" s="203"/>
      <c r="J88" s="204"/>
    </row>
    <row r="89" spans="1:10" outlineLevel="1" x14ac:dyDescent="0.2">
      <c r="A89" s="225"/>
      <c r="B89" s="224" t="s">
        <v>92</v>
      </c>
      <c r="C89" s="224"/>
      <c r="D89" s="225" t="s">
        <v>642</v>
      </c>
      <c r="E89" s="226">
        <v>17</v>
      </c>
      <c r="F89" s="296">
        <v>5654</v>
      </c>
      <c r="G89" s="229">
        <f>E89*F89</f>
        <v>96118</v>
      </c>
      <c r="H89" s="203">
        <f>G89</f>
        <v>96118</v>
      </c>
      <c r="J89" s="204"/>
    </row>
    <row r="90" spans="1:10" outlineLevel="1" x14ac:dyDescent="0.2">
      <c r="A90" s="225"/>
      <c r="B90" s="224" t="s">
        <v>96</v>
      </c>
      <c r="C90" s="224" t="s">
        <v>137</v>
      </c>
      <c r="D90" s="225" t="s">
        <v>642</v>
      </c>
      <c r="E90" s="226">
        <v>16</v>
      </c>
      <c r="F90" s="296">
        <v>4204</v>
      </c>
      <c r="G90" s="229">
        <f>E90*F90</f>
        <v>67264</v>
      </c>
      <c r="H90" s="203">
        <f>G90</f>
        <v>67264</v>
      </c>
      <c r="J90" s="204"/>
    </row>
    <row r="91" spans="1:10" outlineLevel="1" x14ac:dyDescent="0.2">
      <c r="A91" s="225"/>
      <c r="B91" s="224" t="s">
        <v>180</v>
      </c>
      <c r="C91" s="225" t="s">
        <v>148</v>
      </c>
      <c r="D91" s="225" t="s">
        <v>642</v>
      </c>
      <c r="E91" s="226">
        <v>13</v>
      </c>
      <c r="F91" s="296">
        <v>2750</v>
      </c>
      <c r="G91" s="229">
        <f>E91*F91</f>
        <v>35750</v>
      </c>
      <c r="H91" s="203">
        <f>G91</f>
        <v>35750</v>
      </c>
      <c r="J91" s="204"/>
    </row>
    <row r="92" spans="1:10" outlineLevel="1" x14ac:dyDescent="0.2">
      <c r="A92" s="225"/>
      <c r="B92" s="224" t="s">
        <v>153</v>
      </c>
      <c r="C92" s="224"/>
      <c r="D92" s="225" t="s">
        <v>642</v>
      </c>
      <c r="E92" s="226">
        <v>1</v>
      </c>
      <c r="F92" s="296">
        <v>5000</v>
      </c>
      <c r="G92" s="229">
        <f>E92*F92</f>
        <v>5000</v>
      </c>
      <c r="H92" s="203">
        <f>G92</f>
        <v>5000</v>
      </c>
      <c r="J92" s="204"/>
    </row>
    <row r="93" spans="1:10" outlineLevel="1" x14ac:dyDescent="0.2">
      <c r="A93" s="225"/>
      <c r="B93" s="224"/>
      <c r="C93" s="224"/>
      <c r="D93" s="225"/>
      <c r="E93" s="226"/>
      <c r="F93" s="296"/>
      <c r="G93" s="227"/>
      <c r="J93" s="204"/>
    </row>
    <row r="94" spans="1:10" ht="12" thickBot="1" x14ac:dyDescent="0.25">
      <c r="A94" s="214"/>
      <c r="B94" s="236"/>
      <c r="C94" s="237"/>
      <c r="D94" s="214"/>
      <c r="E94" s="215"/>
      <c r="F94" s="302"/>
      <c r="G94" s="238"/>
      <c r="J94" s="204"/>
    </row>
    <row r="95" spans="1:10" ht="12" collapsed="1" thickBot="1" x14ac:dyDescent="0.25">
      <c r="A95" s="218" t="s">
        <v>662</v>
      </c>
      <c r="B95" s="219"/>
      <c r="C95" s="219"/>
      <c r="D95" s="220"/>
      <c r="E95" s="221">
        <v>1</v>
      </c>
      <c r="F95" s="275"/>
      <c r="G95" s="223">
        <f>SUM(G96:G127)*E95</f>
        <v>2177662</v>
      </c>
      <c r="J95" s="204"/>
    </row>
    <row r="96" spans="1:10" hidden="1" outlineLevel="1" x14ac:dyDescent="0.2">
      <c r="A96" s="225"/>
      <c r="B96" s="224"/>
      <c r="C96" s="224"/>
      <c r="D96" s="225"/>
      <c r="E96" s="226"/>
      <c r="F96" s="296"/>
      <c r="G96" s="227"/>
      <c r="J96" s="204"/>
    </row>
    <row r="97" spans="1:10" hidden="1" outlineLevel="1" x14ac:dyDescent="0.2">
      <c r="A97" s="225" t="s">
        <v>627</v>
      </c>
      <c r="B97" s="224" t="s">
        <v>1725</v>
      </c>
      <c r="C97" s="224" t="s">
        <v>766</v>
      </c>
      <c r="D97" s="225" t="s">
        <v>623</v>
      </c>
      <c r="E97" s="226">
        <v>5</v>
      </c>
      <c r="F97" s="296">
        <v>49000</v>
      </c>
      <c r="G97" s="229">
        <f t="shared" ref="G97:G106" si="0">E97*F97</f>
        <v>245000</v>
      </c>
      <c r="H97" s="203">
        <f t="shared" ref="H97:H116" si="1">G97</f>
        <v>245000</v>
      </c>
      <c r="J97" s="204"/>
    </row>
    <row r="98" spans="1:10" hidden="1" outlineLevel="1" x14ac:dyDescent="0.2">
      <c r="A98" s="225"/>
      <c r="B98" s="224" t="s">
        <v>133</v>
      </c>
      <c r="C98" s="224"/>
      <c r="D98" s="225" t="s">
        <v>623</v>
      </c>
      <c r="E98" s="226">
        <v>2</v>
      </c>
      <c r="F98" s="296">
        <v>49000</v>
      </c>
      <c r="G98" s="229">
        <f>E98*F98</f>
        <v>98000</v>
      </c>
      <c r="H98" s="203">
        <f t="shared" si="1"/>
        <v>98000</v>
      </c>
      <c r="J98" s="204"/>
    </row>
    <row r="99" spans="1:10" hidden="1" outlineLevel="1" x14ac:dyDescent="0.2">
      <c r="A99" s="225"/>
      <c r="B99" s="224" t="s">
        <v>1068</v>
      </c>
      <c r="C99" s="224"/>
      <c r="D99" s="225" t="s">
        <v>623</v>
      </c>
      <c r="E99" s="226">
        <v>2</v>
      </c>
      <c r="F99" s="296">
        <v>49000</v>
      </c>
      <c r="G99" s="229">
        <f t="shared" si="0"/>
        <v>98000</v>
      </c>
      <c r="H99" s="203">
        <f t="shared" si="1"/>
        <v>98000</v>
      </c>
      <c r="J99" s="204"/>
    </row>
    <row r="100" spans="1:10" hidden="1" outlineLevel="1" x14ac:dyDescent="0.2">
      <c r="A100" s="225"/>
      <c r="B100" s="224" t="s">
        <v>134</v>
      </c>
      <c r="C100" s="224"/>
      <c r="D100" s="225" t="s">
        <v>623</v>
      </c>
      <c r="E100" s="226">
        <v>1</v>
      </c>
      <c r="F100" s="296">
        <v>49000</v>
      </c>
      <c r="G100" s="229">
        <f>E100*F100</f>
        <v>49000</v>
      </c>
      <c r="H100" s="203">
        <f t="shared" si="1"/>
        <v>49000</v>
      </c>
      <c r="J100" s="204"/>
    </row>
    <row r="101" spans="1:10" hidden="1" outlineLevel="1" x14ac:dyDescent="0.2">
      <c r="A101" s="225"/>
      <c r="B101" s="224" t="s">
        <v>1408</v>
      </c>
      <c r="C101" s="224"/>
      <c r="D101" s="225" t="s">
        <v>623</v>
      </c>
      <c r="E101" s="226">
        <v>2</v>
      </c>
      <c r="F101" s="296">
        <v>49000</v>
      </c>
      <c r="G101" s="229">
        <f t="shared" si="0"/>
        <v>98000</v>
      </c>
      <c r="H101" s="203">
        <f t="shared" si="1"/>
        <v>98000</v>
      </c>
      <c r="J101" s="204"/>
    </row>
    <row r="102" spans="1:10" hidden="1" outlineLevel="1" x14ac:dyDescent="0.2">
      <c r="A102" s="225"/>
      <c r="B102" s="224" t="s">
        <v>1923</v>
      </c>
      <c r="C102" s="224"/>
      <c r="D102" s="225" t="s">
        <v>623</v>
      </c>
      <c r="E102" s="226">
        <v>12</v>
      </c>
      <c r="F102" s="296">
        <v>8900</v>
      </c>
      <c r="G102" s="229">
        <f>E102*F102</f>
        <v>106800</v>
      </c>
      <c r="H102" s="203">
        <f t="shared" si="1"/>
        <v>106800</v>
      </c>
      <c r="J102" s="204"/>
    </row>
    <row r="103" spans="1:10" hidden="1" outlineLevel="1" x14ac:dyDescent="0.2">
      <c r="A103" s="225"/>
      <c r="B103" s="224" t="s">
        <v>1069</v>
      </c>
      <c r="C103" s="224" t="s">
        <v>131</v>
      </c>
      <c r="D103" s="225" t="s">
        <v>618</v>
      </c>
      <c r="E103" s="226">
        <v>500</v>
      </c>
      <c r="F103" s="296">
        <v>155</v>
      </c>
      <c r="G103" s="229">
        <f t="shared" si="0"/>
        <v>77500</v>
      </c>
      <c r="H103" s="203">
        <f t="shared" si="1"/>
        <v>77500</v>
      </c>
      <c r="J103" s="204"/>
    </row>
    <row r="104" spans="1:10" hidden="1" outlineLevel="1" x14ac:dyDescent="0.2">
      <c r="A104" s="225"/>
      <c r="B104" s="224" t="s">
        <v>655</v>
      </c>
      <c r="C104" s="224" t="s">
        <v>132</v>
      </c>
      <c r="D104" s="225" t="s">
        <v>618</v>
      </c>
      <c r="E104" s="226">
        <v>1000</v>
      </c>
      <c r="F104" s="296">
        <v>80</v>
      </c>
      <c r="G104" s="229">
        <f t="shared" si="0"/>
        <v>80000</v>
      </c>
      <c r="H104" s="203">
        <f t="shared" si="1"/>
        <v>80000</v>
      </c>
      <c r="J104" s="204"/>
    </row>
    <row r="105" spans="1:10" hidden="1" outlineLevel="1" x14ac:dyDescent="0.2">
      <c r="A105" s="225"/>
      <c r="B105" s="224" t="s">
        <v>1924</v>
      </c>
      <c r="C105" s="224"/>
      <c r="D105" s="225" t="s">
        <v>623</v>
      </c>
      <c r="E105" s="226">
        <v>2.2000000000000002</v>
      </c>
      <c r="F105" s="296">
        <v>8900</v>
      </c>
      <c r="G105" s="229">
        <f t="shared" si="0"/>
        <v>19580</v>
      </c>
      <c r="H105" s="203">
        <f t="shared" si="1"/>
        <v>19580</v>
      </c>
      <c r="J105" s="204"/>
    </row>
    <row r="106" spans="1:10" hidden="1" outlineLevel="1" x14ac:dyDescent="0.2">
      <c r="A106" s="225"/>
      <c r="B106" s="224" t="s">
        <v>414</v>
      </c>
      <c r="C106" s="224" t="s">
        <v>413</v>
      </c>
      <c r="D106" s="225" t="s">
        <v>611</v>
      </c>
      <c r="E106" s="226">
        <v>20</v>
      </c>
      <c r="F106" s="296">
        <v>2400</v>
      </c>
      <c r="G106" s="229">
        <f t="shared" si="0"/>
        <v>48000</v>
      </c>
      <c r="H106" s="203">
        <f t="shared" si="1"/>
        <v>48000</v>
      </c>
      <c r="J106" s="204"/>
    </row>
    <row r="107" spans="1:10" hidden="1" outlineLevel="1" x14ac:dyDescent="0.2">
      <c r="A107" s="225"/>
      <c r="B107" s="224" t="s">
        <v>415</v>
      </c>
      <c r="C107" s="224" t="s">
        <v>413</v>
      </c>
      <c r="D107" s="225" t="s">
        <v>611</v>
      </c>
      <c r="E107" s="226">
        <v>60</v>
      </c>
      <c r="F107" s="296">
        <v>2400</v>
      </c>
      <c r="G107" s="229">
        <f>E107*F107</f>
        <v>144000</v>
      </c>
      <c r="H107" s="203">
        <f t="shared" si="1"/>
        <v>144000</v>
      </c>
      <c r="J107" s="204"/>
    </row>
    <row r="108" spans="1:10" hidden="1" outlineLevel="1" x14ac:dyDescent="0.2">
      <c r="A108" s="225"/>
      <c r="B108" s="224"/>
      <c r="C108" s="224"/>
      <c r="D108" s="225"/>
      <c r="E108" s="226"/>
      <c r="F108" s="296"/>
      <c r="G108" s="227"/>
      <c r="J108" s="204"/>
    </row>
    <row r="109" spans="1:10" hidden="1" outlineLevel="1" x14ac:dyDescent="0.2">
      <c r="A109" s="225" t="s">
        <v>626</v>
      </c>
      <c r="B109" s="224" t="s">
        <v>77</v>
      </c>
      <c r="C109" s="224" t="s">
        <v>78</v>
      </c>
      <c r="D109" s="225" t="s">
        <v>642</v>
      </c>
      <c r="E109" s="226">
        <v>2400</v>
      </c>
      <c r="F109" s="296">
        <v>173</v>
      </c>
      <c r="G109" s="229">
        <f t="shared" ref="G109:G116" si="2">E109*F109</f>
        <v>415200</v>
      </c>
      <c r="H109" s="203">
        <f t="shared" si="1"/>
        <v>415200</v>
      </c>
      <c r="J109" s="204"/>
    </row>
    <row r="110" spans="1:10" hidden="1" outlineLevel="1" x14ac:dyDescent="0.2">
      <c r="A110" s="225"/>
      <c r="B110" s="224" t="s">
        <v>1070</v>
      </c>
      <c r="C110" s="224" t="s">
        <v>1284</v>
      </c>
      <c r="D110" s="225" t="s">
        <v>642</v>
      </c>
      <c r="E110" s="226">
        <v>173</v>
      </c>
      <c r="F110" s="296">
        <v>730</v>
      </c>
      <c r="G110" s="229">
        <f t="shared" si="2"/>
        <v>126290</v>
      </c>
      <c r="H110" s="203">
        <f t="shared" si="1"/>
        <v>126290</v>
      </c>
      <c r="J110" s="204"/>
    </row>
    <row r="111" spans="1:10" hidden="1" outlineLevel="1" x14ac:dyDescent="0.2">
      <c r="A111" s="225"/>
      <c r="B111" s="224" t="s">
        <v>1071</v>
      </c>
      <c r="C111" s="224" t="s">
        <v>1073</v>
      </c>
      <c r="D111" s="225" t="s">
        <v>642</v>
      </c>
      <c r="E111" s="226">
        <v>23</v>
      </c>
      <c r="F111" s="296">
        <v>912</v>
      </c>
      <c r="G111" s="229">
        <f t="shared" si="2"/>
        <v>20976</v>
      </c>
      <c r="H111" s="203">
        <f t="shared" si="1"/>
        <v>20976</v>
      </c>
      <c r="J111" s="204"/>
    </row>
    <row r="112" spans="1:10" hidden="1" outlineLevel="1" x14ac:dyDescent="0.2">
      <c r="A112" s="225"/>
      <c r="B112" s="224" t="s">
        <v>1072</v>
      </c>
      <c r="C112" s="224"/>
      <c r="D112" s="225" t="s">
        <v>642</v>
      </c>
      <c r="E112" s="226">
        <v>3</v>
      </c>
      <c r="F112" s="296">
        <v>970</v>
      </c>
      <c r="G112" s="229">
        <f t="shared" si="2"/>
        <v>2910</v>
      </c>
      <c r="H112" s="203">
        <f t="shared" si="1"/>
        <v>2910</v>
      </c>
      <c r="J112" s="204"/>
    </row>
    <row r="113" spans="1:12" hidden="1" outlineLevel="1" x14ac:dyDescent="0.2">
      <c r="A113" s="225"/>
      <c r="B113" s="224" t="s">
        <v>1282</v>
      </c>
      <c r="C113" s="224"/>
      <c r="D113" s="225" t="s">
        <v>642</v>
      </c>
      <c r="E113" s="226">
        <v>7</v>
      </c>
      <c r="F113" s="296">
        <v>970</v>
      </c>
      <c r="G113" s="229">
        <f t="shared" si="2"/>
        <v>6790</v>
      </c>
      <c r="H113" s="203">
        <f t="shared" si="1"/>
        <v>6790</v>
      </c>
      <c r="J113" s="204"/>
    </row>
    <row r="114" spans="1:12" hidden="1" outlineLevel="1" x14ac:dyDescent="0.2">
      <c r="A114" s="225"/>
      <c r="B114" s="224" t="s">
        <v>1280</v>
      </c>
      <c r="C114" s="224" t="s">
        <v>71</v>
      </c>
      <c r="D114" s="225" t="s">
        <v>642</v>
      </c>
      <c r="E114" s="226">
        <v>0</v>
      </c>
      <c r="F114" s="296">
        <v>245</v>
      </c>
      <c r="G114" s="229">
        <f t="shared" si="2"/>
        <v>0</v>
      </c>
      <c r="H114" s="203">
        <f t="shared" si="1"/>
        <v>0</v>
      </c>
      <c r="J114" s="204"/>
    </row>
    <row r="115" spans="1:12" hidden="1" outlineLevel="1" x14ac:dyDescent="0.2">
      <c r="A115" s="225"/>
      <c r="B115" s="224" t="s">
        <v>1281</v>
      </c>
      <c r="C115" s="224"/>
      <c r="D115" s="225" t="s">
        <v>618</v>
      </c>
      <c r="E115" s="226">
        <v>59</v>
      </c>
      <c r="F115" s="296">
        <v>1824</v>
      </c>
      <c r="G115" s="229">
        <f t="shared" si="2"/>
        <v>107616</v>
      </c>
      <c r="H115" s="203">
        <f t="shared" si="1"/>
        <v>107616</v>
      </c>
      <c r="J115" s="204"/>
    </row>
    <row r="116" spans="1:12" hidden="1" outlineLevel="1" x14ac:dyDescent="0.2">
      <c r="A116" s="225"/>
      <c r="B116" s="224" t="s">
        <v>1283</v>
      </c>
      <c r="C116" s="224"/>
      <c r="D116" s="225" t="s">
        <v>642</v>
      </c>
      <c r="E116" s="226">
        <v>1</v>
      </c>
      <c r="F116" s="296">
        <v>75000</v>
      </c>
      <c r="G116" s="229">
        <f t="shared" si="2"/>
        <v>75000</v>
      </c>
      <c r="H116" s="203">
        <f t="shared" si="1"/>
        <v>75000</v>
      </c>
      <c r="J116" s="204"/>
    </row>
    <row r="117" spans="1:12" hidden="1" outlineLevel="1" x14ac:dyDescent="0.2">
      <c r="A117" s="225"/>
      <c r="B117" s="224"/>
      <c r="C117" s="224"/>
      <c r="D117" s="225"/>
      <c r="E117" s="226"/>
      <c r="F117" s="296"/>
      <c r="G117" s="227"/>
      <c r="J117" s="204"/>
    </row>
    <row r="118" spans="1:12" hidden="1" outlineLevel="1" x14ac:dyDescent="0.2">
      <c r="A118" s="225" t="s">
        <v>943</v>
      </c>
      <c r="B118" s="224" t="s">
        <v>430</v>
      </c>
      <c r="C118" s="224"/>
      <c r="D118" s="225" t="s">
        <v>611</v>
      </c>
      <c r="E118" s="226">
        <v>300</v>
      </c>
      <c r="F118" s="296">
        <v>180</v>
      </c>
      <c r="G118" s="229">
        <f>E118*F118</f>
        <v>54000</v>
      </c>
      <c r="H118" s="203">
        <f>G118</f>
        <v>54000</v>
      </c>
      <c r="J118" s="204"/>
    </row>
    <row r="119" spans="1:12" hidden="1" outlineLevel="1" x14ac:dyDescent="0.2">
      <c r="A119" s="225"/>
      <c r="B119" s="224"/>
      <c r="C119" s="224"/>
      <c r="D119" s="225"/>
      <c r="E119" s="226"/>
      <c r="F119" s="296"/>
      <c r="G119" s="229"/>
      <c r="J119" s="204"/>
    </row>
    <row r="120" spans="1:12" hidden="1" outlineLevel="1" x14ac:dyDescent="0.2">
      <c r="A120" s="225" t="s">
        <v>1403</v>
      </c>
      <c r="B120" s="224" t="s">
        <v>101</v>
      </c>
      <c r="C120" s="224"/>
      <c r="D120" s="225" t="s">
        <v>642</v>
      </c>
      <c r="E120" s="226">
        <v>1</v>
      </c>
      <c r="F120" s="296">
        <v>50000</v>
      </c>
      <c r="G120" s="229">
        <f>E120*F120</f>
        <v>50000</v>
      </c>
      <c r="H120" s="203">
        <f>G120</f>
        <v>50000</v>
      </c>
      <c r="J120" s="204"/>
    </row>
    <row r="121" spans="1:12" hidden="1" outlineLevel="1" x14ac:dyDescent="0.2">
      <c r="A121" s="225"/>
      <c r="B121" s="224" t="s">
        <v>233</v>
      </c>
      <c r="C121" s="224" t="s">
        <v>82</v>
      </c>
      <c r="D121" s="225" t="s">
        <v>642</v>
      </c>
      <c r="E121" s="226">
        <v>1</v>
      </c>
      <c r="F121" s="296">
        <v>55000</v>
      </c>
      <c r="G121" s="229">
        <f>E121*F121</f>
        <v>55000</v>
      </c>
      <c r="H121" s="203">
        <f>G121</f>
        <v>55000</v>
      </c>
      <c r="J121" s="204"/>
    </row>
    <row r="122" spans="1:12" hidden="1" outlineLevel="1" x14ac:dyDescent="0.2">
      <c r="A122" s="225"/>
      <c r="B122" s="224" t="s">
        <v>80</v>
      </c>
      <c r="C122" s="224" t="s">
        <v>81</v>
      </c>
      <c r="D122" s="225"/>
      <c r="E122" s="226"/>
      <c r="F122" s="296"/>
      <c r="G122" s="296"/>
      <c r="H122" s="203"/>
      <c r="J122" s="204"/>
    </row>
    <row r="123" spans="1:12" hidden="1" outlineLevel="1" x14ac:dyDescent="0.2">
      <c r="A123" s="225"/>
      <c r="B123" s="224"/>
      <c r="C123" s="224"/>
      <c r="D123" s="225"/>
      <c r="E123" s="226"/>
      <c r="F123" s="296"/>
      <c r="G123" s="227"/>
      <c r="J123" s="204"/>
    </row>
    <row r="124" spans="1:12" hidden="1" outlineLevel="1" x14ac:dyDescent="0.2">
      <c r="A124" s="225" t="s">
        <v>1132</v>
      </c>
      <c r="B124" s="224" t="s">
        <v>1047</v>
      </c>
      <c r="C124" s="224" t="s">
        <v>932</v>
      </c>
      <c r="D124" s="225" t="s">
        <v>611</v>
      </c>
      <c r="E124" s="226">
        <v>0</v>
      </c>
      <c r="F124" s="296">
        <v>120</v>
      </c>
      <c r="G124" s="227">
        <f>E124*F124</f>
        <v>0</v>
      </c>
      <c r="J124" s="204"/>
    </row>
    <row r="125" spans="1:12" hidden="1" outlineLevel="1" x14ac:dyDescent="0.2">
      <c r="A125" s="225"/>
      <c r="B125" s="224"/>
      <c r="C125" s="224"/>
      <c r="D125" s="225"/>
      <c r="E125" s="226"/>
      <c r="F125" s="296"/>
      <c r="G125" s="227"/>
      <c r="I125" s="254"/>
      <c r="J125" s="204"/>
      <c r="K125" s="1121"/>
      <c r="L125" s="1121"/>
    </row>
    <row r="126" spans="1:12" hidden="1" outlineLevel="1" x14ac:dyDescent="0.2">
      <c r="A126" s="225" t="s">
        <v>629</v>
      </c>
      <c r="B126" s="224" t="s">
        <v>1393</v>
      </c>
      <c r="C126" s="224" t="s">
        <v>1664</v>
      </c>
      <c r="D126" s="225" t="s">
        <v>642</v>
      </c>
      <c r="E126" s="226">
        <v>1</v>
      </c>
      <c r="F126" s="296">
        <v>200000</v>
      </c>
      <c r="G126" s="263">
        <f>E126*F126</f>
        <v>200000</v>
      </c>
      <c r="H126" s="203">
        <f>G126</f>
        <v>200000</v>
      </c>
      <c r="I126" s="217"/>
      <c r="J126" s="204"/>
      <c r="K126" s="216"/>
      <c r="L126" s="216"/>
    </row>
    <row r="127" spans="1:12" hidden="1" outlineLevel="1" x14ac:dyDescent="0.2">
      <c r="A127" s="225"/>
      <c r="B127" s="225"/>
      <c r="C127" s="224"/>
      <c r="D127" s="225"/>
      <c r="E127" s="226"/>
      <c r="F127" s="296"/>
      <c r="G127" s="227"/>
      <c r="I127" s="217"/>
      <c r="J127" s="204"/>
      <c r="K127" s="216"/>
      <c r="L127" s="216"/>
    </row>
    <row r="128" spans="1:12" ht="12" thickBot="1" x14ac:dyDescent="0.25">
      <c r="A128" s="214"/>
      <c r="B128" s="236"/>
      <c r="C128" s="237"/>
      <c r="D128" s="214"/>
      <c r="E128" s="215"/>
      <c r="F128" s="302"/>
      <c r="G128" s="238"/>
      <c r="J128" s="204"/>
    </row>
    <row r="129" spans="1:11" s="216" customFormat="1" ht="12" collapsed="1" thickBot="1" x14ac:dyDescent="0.25">
      <c r="A129" s="218" t="s">
        <v>661</v>
      </c>
      <c r="B129" s="219"/>
      <c r="C129" s="219"/>
      <c r="D129" s="220"/>
      <c r="E129" s="221">
        <v>1</v>
      </c>
      <c r="F129" s="275"/>
      <c r="G129" s="223">
        <f>SUM(G130:G173)*E129</f>
        <v>2420105</v>
      </c>
      <c r="H129" s="255"/>
      <c r="I129" s="209"/>
      <c r="J129" s="239">
        <f>SUM(J130:J170)</f>
        <v>413225</v>
      </c>
    </row>
    <row r="130" spans="1:11" hidden="1" outlineLevel="1" x14ac:dyDescent="0.2">
      <c r="A130" s="225"/>
      <c r="B130" s="225"/>
      <c r="C130" s="225"/>
      <c r="D130" s="225"/>
      <c r="E130" s="225"/>
      <c r="F130" s="298"/>
      <c r="G130" s="225"/>
      <c r="J130" s="204"/>
    </row>
    <row r="131" spans="1:11" s="216" customFormat="1" hidden="1" outlineLevel="1" x14ac:dyDescent="0.2">
      <c r="A131" s="225" t="s">
        <v>628</v>
      </c>
      <c r="B131" s="224" t="s">
        <v>1643</v>
      </c>
      <c r="C131" s="224" t="s">
        <v>1457</v>
      </c>
      <c r="D131" s="225" t="s">
        <v>611</v>
      </c>
      <c r="E131" s="226">
        <v>60</v>
      </c>
      <c r="F131" s="296">
        <v>562</v>
      </c>
      <c r="G131" s="229">
        <f>E131*F131</f>
        <v>33720</v>
      </c>
      <c r="H131" s="203">
        <f>G131</f>
        <v>33720</v>
      </c>
      <c r="I131" s="217"/>
      <c r="J131" s="255"/>
    </row>
    <row r="132" spans="1:11" hidden="1" outlineLevel="1" x14ac:dyDescent="0.2">
      <c r="A132" s="224" t="s">
        <v>1384</v>
      </c>
      <c r="B132" s="224" t="s">
        <v>1901</v>
      </c>
      <c r="C132" s="224" t="s">
        <v>1457</v>
      </c>
      <c r="D132" s="225" t="s">
        <v>611</v>
      </c>
      <c r="E132" s="226">
        <v>120</v>
      </c>
      <c r="F132" s="296">
        <v>1050</v>
      </c>
      <c r="G132" s="229">
        <f>E132*F132</f>
        <v>126000</v>
      </c>
      <c r="J132" s="204"/>
    </row>
    <row r="133" spans="1:11" hidden="1" outlineLevel="1" x14ac:dyDescent="0.2">
      <c r="A133" s="224" t="s">
        <v>361</v>
      </c>
      <c r="B133" s="224" t="s">
        <v>18</v>
      </c>
      <c r="C133" s="224" t="s">
        <v>1457</v>
      </c>
      <c r="D133" s="225" t="s">
        <v>611</v>
      </c>
      <c r="E133" s="226">
        <v>60</v>
      </c>
      <c r="F133" s="296">
        <v>500</v>
      </c>
      <c r="G133" s="263">
        <f>E133*F133</f>
        <v>30000</v>
      </c>
      <c r="H133" s="203">
        <f>G133</f>
        <v>30000</v>
      </c>
      <c r="J133" s="204"/>
    </row>
    <row r="134" spans="1:11" s="216" customFormat="1" hidden="1" outlineLevel="1" x14ac:dyDescent="0.2">
      <c r="A134" s="224"/>
      <c r="B134" s="224" t="s">
        <v>1919</v>
      </c>
      <c r="C134" s="224" t="s">
        <v>1457</v>
      </c>
      <c r="D134" s="225" t="s">
        <v>642</v>
      </c>
      <c r="E134" s="226">
        <v>2</v>
      </c>
      <c r="F134" s="296">
        <v>14220</v>
      </c>
      <c r="G134" s="229">
        <f>E134*F134</f>
        <v>28440</v>
      </c>
      <c r="H134" s="203">
        <f>G134</f>
        <v>28440</v>
      </c>
      <c r="I134" s="217"/>
      <c r="J134" s="255"/>
    </row>
    <row r="135" spans="1:11" s="216" customFormat="1" hidden="1" outlineLevel="1" x14ac:dyDescent="0.2">
      <c r="A135" s="224"/>
      <c r="B135" s="224"/>
      <c r="C135" s="224"/>
      <c r="D135" s="225"/>
      <c r="E135" s="226"/>
      <c r="F135" s="296"/>
      <c r="G135" s="227"/>
      <c r="H135" s="203"/>
      <c r="I135" s="217"/>
      <c r="J135" s="255"/>
    </row>
    <row r="136" spans="1:11" s="216" customFormat="1" hidden="1" outlineLevel="1" x14ac:dyDescent="0.2">
      <c r="A136" s="224" t="s">
        <v>202</v>
      </c>
      <c r="B136" s="224" t="s">
        <v>432</v>
      </c>
      <c r="C136" s="224" t="s">
        <v>203</v>
      </c>
      <c r="D136" s="225"/>
      <c r="E136" s="226" t="s">
        <v>898</v>
      </c>
      <c r="F136" s="296"/>
      <c r="G136" s="227"/>
      <c r="H136" s="203"/>
      <c r="I136" s="217"/>
      <c r="J136" s="255"/>
    </row>
    <row r="137" spans="1:11" hidden="1" outlineLevel="1" x14ac:dyDescent="0.2">
      <c r="A137" s="224"/>
      <c r="B137" s="224"/>
      <c r="C137" s="224"/>
      <c r="D137" s="225"/>
      <c r="E137" s="226"/>
      <c r="F137" s="296"/>
      <c r="G137" s="296"/>
      <c r="J137" s="204"/>
    </row>
    <row r="138" spans="1:11" hidden="1" outlineLevel="1" x14ac:dyDescent="0.2">
      <c r="A138" s="225" t="s">
        <v>1902</v>
      </c>
      <c r="B138" s="224" t="s">
        <v>1903</v>
      </c>
      <c r="C138" s="224" t="s">
        <v>1665</v>
      </c>
      <c r="D138" s="225" t="s">
        <v>611</v>
      </c>
      <c r="E138" s="226">
        <v>0</v>
      </c>
      <c r="F138" s="296">
        <v>120</v>
      </c>
      <c r="G138" s="227">
        <f>E138*F138</f>
        <v>0</v>
      </c>
      <c r="J138" s="204"/>
    </row>
    <row r="139" spans="1:11" hidden="1" outlineLevel="1" x14ac:dyDescent="0.2">
      <c r="A139" s="225"/>
      <c r="B139" s="224" t="s">
        <v>588</v>
      </c>
      <c r="C139" s="224" t="s">
        <v>587</v>
      </c>
      <c r="D139" s="225" t="s">
        <v>611</v>
      </c>
      <c r="E139" s="226">
        <v>200</v>
      </c>
      <c r="F139" s="296">
        <v>83</v>
      </c>
      <c r="G139" s="263">
        <f>E139*F139</f>
        <v>16600</v>
      </c>
      <c r="J139" s="204"/>
    </row>
    <row r="140" spans="1:11" hidden="1" outlineLevel="1" x14ac:dyDescent="0.2">
      <c r="A140" s="225"/>
      <c r="B140" s="224"/>
      <c r="C140" s="224"/>
      <c r="D140" s="225"/>
      <c r="E140" s="226"/>
      <c r="F140" s="296"/>
      <c r="G140" s="227"/>
      <c r="J140" s="204"/>
    </row>
    <row r="141" spans="1:11" hidden="1" outlineLevel="1" x14ac:dyDescent="0.2">
      <c r="A141" s="240" t="s">
        <v>622</v>
      </c>
      <c r="B141" s="241" t="s">
        <v>539</v>
      </c>
      <c r="C141" s="247" t="s">
        <v>1080</v>
      </c>
      <c r="D141" s="242" t="s">
        <v>623</v>
      </c>
      <c r="E141" s="243">
        <v>35</v>
      </c>
      <c r="F141" s="303">
        <v>10371</v>
      </c>
      <c r="G141" s="229">
        <f>E141*F141</f>
        <v>362985</v>
      </c>
      <c r="H141" s="204"/>
      <c r="I141" s="246">
        <v>110000</v>
      </c>
      <c r="J141" s="248">
        <f>G141-I141</f>
        <v>252985</v>
      </c>
      <c r="K141" s="246"/>
    </row>
    <row r="142" spans="1:11" hidden="1" outlineLevel="1" x14ac:dyDescent="0.2">
      <c r="A142" s="242"/>
      <c r="B142" s="241"/>
      <c r="C142" s="249"/>
      <c r="D142" s="249"/>
      <c r="E142" s="249"/>
      <c r="F142" s="304"/>
      <c r="G142" s="245"/>
      <c r="H142" s="204"/>
      <c r="I142" s="246"/>
      <c r="J142" s="248"/>
      <c r="K142" s="246"/>
    </row>
    <row r="143" spans="1:11" hidden="1" outlineLevel="1" x14ac:dyDescent="0.2">
      <c r="A143" s="240" t="s">
        <v>643</v>
      </c>
      <c r="B143" s="247" t="s">
        <v>72</v>
      </c>
      <c r="C143" s="247" t="s">
        <v>1080</v>
      </c>
      <c r="D143" s="250" t="s">
        <v>611</v>
      </c>
      <c r="E143" s="251">
        <v>0</v>
      </c>
      <c r="F143" s="305">
        <v>2850</v>
      </c>
      <c r="G143" s="252">
        <f t="shared" ref="G143:G149" si="3">E143*F143</f>
        <v>0</v>
      </c>
      <c r="H143" s="204"/>
      <c r="I143" s="246">
        <v>0</v>
      </c>
      <c r="J143" s="248">
        <f>G143-I143</f>
        <v>0</v>
      </c>
      <c r="K143" s="246"/>
    </row>
    <row r="144" spans="1:11" hidden="1" outlineLevel="1" x14ac:dyDescent="0.2">
      <c r="A144" s="242"/>
      <c r="B144" s="247" t="s">
        <v>79</v>
      </c>
      <c r="C144" s="247" t="s">
        <v>75</v>
      </c>
      <c r="D144" s="250" t="s">
        <v>611</v>
      </c>
      <c r="E144" s="251">
        <v>0</v>
      </c>
      <c r="F144" s="305">
        <v>75</v>
      </c>
      <c r="G144" s="252">
        <f t="shared" si="3"/>
        <v>0</v>
      </c>
      <c r="H144" s="204"/>
      <c r="I144" s="246"/>
      <c r="J144" s="248"/>
      <c r="K144" s="246"/>
    </row>
    <row r="145" spans="1:11" hidden="1" outlineLevel="1" x14ac:dyDescent="0.2">
      <c r="A145" s="242"/>
      <c r="B145" s="247" t="s">
        <v>76</v>
      </c>
      <c r="C145" s="247"/>
      <c r="D145" s="250" t="s">
        <v>611</v>
      </c>
      <c r="E145" s="251">
        <v>0</v>
      </c>
      <c r="F145" s="305">
        <v>800</v>
      </c>
      <c r="G145" s="252">
        <f t="shared" si="3"/>
        <v>0</v>
      </c>
      <c r="H145" s="204"/>
      <c r="I145" s="246"/>
      <c r="J145" s="248"/>
      <c r="K145" s="246"/>
    </row>
    <row r="146" spans="1:11" hidden="1" outlineLevel="1" x14ac:dyDescent="0.2">
      <c r="A146" s="242"/>
      <c r="B146" s="247" t="s">
        <v>73</v>
      </c>
      <c r="C146" s="247" t="s">
        <v>561</v>
      </c>
      <c r="D146" s="250" t="s">
        <v>611</v>
      </c>
      <c r="E146" s="251">
        <v>0</v>
      </c>
      <c r="F146" s="305">
        <v>180</v>
      </c>
      <c r="G146" s="252">
        <f t="shared" si="3"/>
        <v>0</v>
      </c>
      <c r="H146" s="204"/>
      <c r="I146" s="246"/>
      <c r="J146" s="248"/>
      <c r="K146" s="246"/>
    </row>
    <row r="147" spans="1:11" hidden="1" outlineLevel="1" x14ac:dyDescent="0.2">
      <c r="A147" s="242"/>
      <c r="B147" s="247" t="s">
        <v>74</v>
      </c>
      <c r="C147" s="247"/>
      <c r="D147" s="250" t="s">
        <v>611</v>
      </c>
      <c r="E147" s="251">
        <v>0</v>
      </c>
      <c r="F147" s="305">
        <v>450</v>
      </c>
      <c r="G147" s="252">
        <f t="shared" si="3"/>
        <v>0</v>
      </c>
      <c r="H147" s="204"/>
      <c r="I147" s="246"/>
      <c r="J147" s="248"/>
      <c r="K147" s="246"/>
    </row>
    <row r="148" spans="1:11" hidden="1" outlineLevel="1" x14ac:dyDescent="0.2">
      <c r="A148" s="242"/>
      <c r="B148" s="241" t="s">
        <v>548</v>
      </c>
      <c r="C148" s="247" t="s">
        <v>547</v>
      </c>
      <c r="D148" s="242" t="s">
        <v>642</v>
      </c>
      <c r="E148" s="243">
        <v>0</v>
      </c>
      <c r="F148" s="303">
        <v>750</v>
      </c>
      <c r="G148" s="244">
        <f t="shared" si="3"/>
        <v>0</v>
      </c>
      <c r="H148" s="204"/>
      <c r="I148" s="246"/>
      <c r="J148" s="248"/>
      <c r="K148" s="246"/>
    </row>
    <row r="149" spans="1:11" hidden="1" outlineLevel="1" x14ac:dyDescent="0.2">
      <c r="A149" s="242"/>
      <c r="B149" s="247" t="s">
        <v>550</v>
      </c>
      <c r="C149" s="247" t="s">
        <v>549</v>
      </c>
      <c r="D149" s="250" t="s">
        <v>611</v>
      </c>
      <c r="E149" s="251">
        <v>0</v>
      </c>
      <c r="F149" s="305">
        <v>0</v>
      </c>
      <c r="G149" s="252">
        <f t="shared" si="3"/>
        <v>0</v>
      </c>
      <c r="H149" s="204"/>
      <c r="I149" s="246"/>
      <c r="J149" s="248">
        <f>G149-I149</f>
        <v>0</v>
      </c>
      <c r="K149" s="246"/>
    </row>
    <row r="150" spans="1:11" ht="12" hidden="1" outlineLevel="1" thickBot="1" x14ac:dyDescent="0.25">
      <c r="A150" s="242"/>
      <c r="B150" s="247"/>
      <c r="C150" s="247"/>
      <c r="D150" s="250"/>
      <c r="E150" s="251"/>
      <c r="F150" s="305"/>
      <c r="G150" s="252"/>
      <c r="H150" s="204"/>
      <c r="I150" s="246"/>
      <c r="J150" s="248"/>
      <c r="K150" s="246"/>
    </row>
    <row r="151" spans="1:11" hidden="1" outlineLevel="1" x14ac:dyDescent="0.2">
      <c r="A151" s="242"/>
      <c r="B151" s="442" t="s">
        <v>72</v>
      </c>
      <c r="C151" s="443"/>
      <c r="D151" s="433" t="s">
        <v>611</v>
      </c>
      <c r="E151" s="444">
        <v>160</v>
      </c>
      <c r="F151" s="445">
        <v>2850</v>
      </c>
      <c r="G151" s="500">
        <f t="shared" ref="G151:G156" si="4">E151*F151</f>
        <v>456000</v>
      </c>
      <c r="H151" s="204"/>
      <c r="I151" s="246"/>
      <c r="J151" s="248"/>
      <c r="K151" s="246"/>
    </row>
    <row r="152" spans="1:11" hidden="1" outlineLevel="1" x14ac:dyDescent="0.2">
      <c r="A152" s="242"/>
      <c r="B152" s="446" t="s">
        <v>79</v>
      </c>
      <c r="C152" s="447" t="s">
        <v>75</v>
      </c>
      <c r="D152" s="448" t="s">
        <v>611</v>
      </c>
      <c r="E152" s="449">
        <v>160</v>
      </c>
      <c r="F152" s="450">
        <v>0</v>
      </c>
      <c r="G152" s="456">
        <f t="shared" si="4"/>
        <v>0</v>
      </c>
      <c r="H152" s="204"/>
      <c r="I152" s="246"/>
      <c r="J152" s="248"/>
      <c r="K152" s="246"/>
    </row>
    <row r="153" spans="1:11" hidden="1" outlineLevel="1" x14ac:dyDescent="0.2">
      <c r="A153" s="242" t="s">
        <v>1371</v>
      </c>
      <c r="B153" s="446" t="s">
        <v>1374</v>
      </c>
      <c r="C153" s="447" t="s">
        <v>1373</v>
      </c>
      <c r="D153" s="448" t="s">
        <v>611</v>
      </c>
      <c r="E153" s="449">
        <v>160</v>
      </c>
      <c r="F153" s="450">
        <v>1500</v>
      </c>
      <c r="G153" s="456">
        <f t="shared" si="4"/>
        <v>240000</v>
      </c>
      <c r="H153" s="204"/>
      <c r="I153" s="246"/>
      <c r="J153" s="248"/>
      <c r="K153" s="246"/>
    </row>
    <row r="154" spans="1:11" hidden="1" outlineLevel="1" x14ac:dyDescent="0.2">
      <c r="A154" s="242" t="s">
        <v>1372</v>
      </c>
      <c r="B154" s="446" t="s">
        <v>73</v>
      </c>
      <c r="C154" s="447" t="s">
        <v>561</v>
      </c>
      <c r="D154" s="448" t="s">
        <v>611</v>
      </c>
      <c r="E154" s="449">
        <v>160</v>
      </c>
      <c r="F154" s="450">
        <v>180</v>
      </c>
      <c r="G154" s="456">
        <f t="shared" si="4"/>
        <v>28800</v>
      </c>
      <c r="H154" s="204"/>
      <c r="I154" s="246"/>
      <c r="J154" s="248"/>
      <c r="K154" s="246"/>
    </row>
    <row r="155" spans="1:11" hidden="1" outlineLevel="1" x14ac:dyDescent="0.2">
      <c r="A155" s="242"/>
      <c r="B155" s="446" t="s">
        <v>1376</v>
      </c>
      <c r="C155" s="447" t="s">
        <v>1595</v>
      </c>
      <c r="D155" s="448" t="s">
        <v>611</v>
      </c>
      <c r="E155" s="449">
        <v>160</v>
      </c>
      <c r="F155" s="450">
        <v>600</v>
      </c>
      <c r="G155" s="456">
        <f t="shared" si="4"/>
        <v>96000</v>
      </c>
      <c r="H155" s="204"/>
      <c r="I155" s="246"/>
      <c r="J155" s="248"/>
      <c r="K155" s="246"/>
    </row>
    <row r="156" spans="1:11" ht="12" hidden="1" outlineLevel="1" thickBot="1" x14ac:dyDescent="0.25">
      <c r="A156" s="242"/>
      <c r="B156" s="453" t="s">
        <v>548</v>
      </c>
      <c r="C156" s="451" t="s">
        <v>547</v>
      </c>
      <c r="D156" s="454" t="s">
        <v>642</v>
      </c>
      <c r="E156" s="452">
        <v>0</v>
      </c>
      <c r="F156" s="455">
        <v>750</v>
      </c>
      <c r="G156" s="457">
        <f t="shared" si="4"/>
        <v>0</v>
      </c>
      <c r="H156" s="204"/>
      <c r="I156" s="246"/>
      <c r="J156" s="248"/>
      <c r="K156" s="246"/>
    </row>
    <row r="157" spans="1:11" hidden="1" outlineLevel="1" x14ac:dyDescent="0.2">
      <c r="A157" s="242"/>
      <c r="B157" s="247"/>
      <c r="C157" s="247"/>
      <c r="D157" s="250"/>
      <c r="E157" s="251"/>
      <c r="F157" s="305"/>
      <c r="G157" s="252"/>
      <c r="H157" s="204"/>
      <c r="I157" s="246"/>
      <c r="J157" s="248"/>
      <c r="K157" s="246"/>
    </row>
    <row r="158" spans="1:11" hidden="1" outlineLevel="1" x14ac:dyDescent="0.2">
      <c r="A158" s="247"/>
      <c r="B158" s="247" t="s">
        <v>51</v>
      </c>
      <c r="C158" s="247" t="s">
        <v>1596</v>
      </c>
      <c r="D158" s="242" t="s">
        <v>642</v>
      </c>
      <c r="E158" s="243">
        <v>0</v>
      </c>
      <c r="F158" s="303">
        <v>20</v>
      </c>
      <c r="G158" s="244">
        <f>E158*F158</f>
        <v>0</v>
      </c>
      <c r="H158" s="204"/>
      <c r="I158" s="246"/>
      <c r="J158" s="248"/>
      <c r="K158" s="246"/>
    </row>
    <row r="159" spans="1:11" hidden="1" outlineLevel="1" x14ac:dyDescent="0.2">
      <c r="A159" s="242"/>
      <c r="B159" s="241" t="s">
        <v>543</v>
      </c>
      <c r="C159" s="247" t="s">
        <v>1080</v>
      </c>
      <c r="D159" s="242" t="s">
        <v>642</v>
      </c>
      <c r="E159" s="243">
        <v>0</v>
      </c>
      <c r="F159" s="303">
        <v>50</v>
      </c>
      <c r="G159" s="244">
        <f>E159*F159</f>
        <v>0</v>
      </c>
      <c r="H159" s="204"/>
      <c r="I159" s="246"/>
      <c r="J159" s="248"/>
      <c r="K159" s="246">
        <v>50000</v>
      </c>
    </row>
    <row r="160" spans="1:11" hidden="1" outlineLevel="1" x14ac:dyDescent="0.2">
      <c r="A160" s="242"/>
      <c r="B160" s="241" t="s">
        <v>548</v>
      </c>
      <c r="C160" s="247" t="s">
        <v>547</v>
      </c>
      <c r="D160" s="242" t="s">
        <v>642</v>
      </c>
      <c r="E160" s="243">
        <v>0</v>
      </c>
      <c r="F160" s="303">
        <v>125</v>
      </c>
      <c r="G160" s="244">
        <f>E160*F160</f>
        <v>0</v>
      </c>
      <c r="H160" s="204"/>
      <c r="I160" s="246"/>
      <c r="J160" s="248"/>
      <c r="K160" s="246"/>
    </row>
    <row r="161" spans="1:11" hidden="1" outlineLevel="1" x14ac:dyDescent="0.2">
      <c r="A161" s="242"/>
      <c r="B161" s="241"/>
      <c r="C161" s="241"/>
      <c r="D161" s="242"/>
      <c r="E161" s="243"/>
      <c r="F161" s="303"/>
      <c r="G161" s="244"/>
      <c r="H161" s="204"/>
      <c r="I161" s="246"/>
      <c r="J161" s="204"/>
      <c r="K161" s="246"/>
    </row>
    <row r="162" spans="1:11" hidden="1" outlineLevel="1" x14ac:dyDescent="0.2">
      <c r="A162" s="253" t="s">
        <v>1495</v>
      </c>
      <c r="B162" s="242" t="s">
        <v>1377</v>
      </c>
      <c r="C162" s="241" t="s">
        <v>589</v>
      </c>
      <c r="D162" s="242" t="s">
        <v>623</v>
      </c>
      <c r="E162" s="243">
        <v>12</v>
      </c>
      <c r="F162" s="303">
        <v>28250</v>
      </c>
      <c r="G162" s="229">
        <f t="shared" ref="G162:G167" si="5">E162*F162</f>
        <v>339000</v>
      </c>
      <c r="H162" s="204"/>
      <c r="I162" s="246"/>
      <c r="J162" s="204"/>
      <c r="K162" s="246"/>
    </row>
    <row r="163" spans="1:11" hidden="1" outlineLevel="1" x14ac:dyDescent="0.2">
      <c r="A163" s="242"/>
      <c r="B163" s="242" t="s">
        <v>2207</v>
      </c>
      <c r="C163" s="447" t="s">
        <v>1373</v>
      </c>
      <c r="D163" s="242" t="s">
        <v>611</v>
      </c>
      <c r="E163" s="243">
        <v>60</v>
      </c>
      <c r="F163" s="303">
        <v>2500</v>
      </c>
      <c r="G163" s="263">
        <f t="shared" si="5"/>
        <v>150000</v>
      </c>
      <c r="H163" s="204"/>
      <c r="I163" s="246"/>
      <c r="J163" s="204"/>
      <c r="K163" s="246"/>
    </row>
    <row r="164" spans="1:11" hidden="1" outlineLevel="1" x14ac:dyDescent="0.2">
      <c r="A164" s="242" t="s">
        <v>400</v>
      </c>
      <c r="B164" s="247" t="s">
        <v>79</v>
      </c>
      <c r="C164" s="247" t="s">
        <v>75</v>
      </c>
      <c r="D164" s="250" t="s">
        <v>611</v>
      </c>
      <c r="E164" s="251">
        <v>60</v>
      </c>
      <c r="F164" s="305">
        <v>72</v>
      </c>
      <c r="G164" s="414">
        <f t="shared" si="5"/>
        <v>4320</v>
      </c>
      <c r="H164" s="204"/>
      <c r="I164" s="246"/>
      <c r="J164" s="204"/>
      <c r="K164" s="246"/>
    </row>
    <row r="165" spans="1:11" hidden="1" outlineLevel="1" x14ac:dyDescent="0.2">
      <c r="A165" s="242" t="s">
        <v>399</v>
      </c>
      <c r="B165" s="247" t="s">
        <v>73</v>
      </c>
      <c r="C165" s="247" t="s">
        <v>561</v>
      </c>
      <c r="D165" s="250" t="s">
        <v>611</v>
      </c>
      <c r="E165" s="251">
        <v>60</v>
      </c>
      <c r="F165" s="305">
        <v>180</v>
      </c>
      <c r="G165" s="414">
        <f t="shared" si="5"/>
        <v>10800</v>
      </c>
      <c r="H165" s="204"/>
      <c r="I165" s="246"/>
      <c r="J165" s="204"/>
      <c r="K165" s="246"/>
    </row>
    <row r="166" spans="1:11" hidden="1" outlineLevel="1" x14ac:dyDescent="0.2">
      <c r="A166" s="242" t="s">
        <v>401</v>
      </c>
      <c r="B166" s="247" t="s">
        <v>1379</v>
      </c>
      <c r="C166" s="247" t="s">
        <v>1378</v>
      </c>
      <c r="D166" s="250" t="s">
        <v>611</v>
      </c>
      <c r="E166" s="251">
        <v>60</v>
      </c>
      <c r="F166" s="305">
        <v>300</v>
      </c>
      <c r="G166" s="414">
        <f t="shared" si="5"/>
        <v>18000</v>
      </c>
      <c r="H166" s="204"/>
      <c r="I166" s="246"/>
      <c r="J166" s="204"/>
      <c r="K166" s="246"/>
    </row>
    <row r="167" spans="1:11" hidden="1" outlineLevel="1" x14ac:dyDescent="0.2">
      <c r="A167" s="242" t="s">
        <v>1375</v>
      </c>
      <c r="B167" s="247" t="s">
        <v>1380</v>
      </c>
      <c r="C167" s="247" t="s">
        <v>1378</v>
      </c>
      <c r="D167" s="250" t="s">
        <v>611</v>
      </c>
      <c r="E167" s="251">
        <v>60</v>
      </c>
      <c r="F167" s="305">
        <v>300</v>
      </c>
      <c r="G167" s="414">
        <f t="shared" si="5"/>
        <v>18000</v>
      </c>
      <c r="H167" s="204"/>
      <c r="I167" s="246"/>
      <c r="J167" s="204"/>
      <c r="K167" s="246"/>
    </row>
    <row r="168" spans="1:11" hidden="1" outlineLevel="1" x14ac:dyDescent="0.2">
      <c r="A168" s="242"/>
      <c r="B168" s="241"/>
      <c r="C168" s="241"/>
      <c r="D168" s="242"/>
      <c r="E168" s="243"/>
      <c r="F168" s="303"/>
      <c r="G168" s="244"/>
      <c r="H168" s="204"/>
      <c r="I168" s="246"/>
      <c r="J168" s="204"/>
      <c r="K168" s="246"/>
    </row>
    <row r="169" spans="1:11" hidden="1" outlineLevel="1" x14ac:dyDescent="0.2">
      <c r="A169" s="240" t="s">
        <v>546</v>
      </c>
      <c r="B169" s="241" t="s">
        <v>571</v>
      </c>
      <c r="C169" s="241"/>
      <c r="D169" s="242" t="s">
        <v>623</v>
      </c>
      <c r="E169" s="243">
        <v>40</v>
      </c>
      <c r="F169" s="303">
        <v>8381</v>
      </c>
      <c r="G169" s="229">
        <f>E169*F169</f>
        <v>335240</v>
      </c>
      <c r="H169" s="204"/>
      <c r="I169" s="246">
        <v>175000</v>
      </c>
      <c r="J169" s="248">
        <f>G169-I169</f>
        <v>160240</v>
      </c>
      <c r="K169" s="246"/>
    </row>
    <row r="170" spans="1:11" hidden="1" outlineLevel="1" x14ac:dyDescent="0.2">
      <c r="A170" s="242"/>
      <c r="B170" s="241" t="s">
        <v>1563</v>
      </c>
      <c r="C170" s="241" t="s">
        <v>13</v>
      </c>
      <c r="D170" s="242" t="s">
        <v>611</v>
      </c>
      <c r="E170" s="243">
        <v>140</v>
      </c>
      <c r="F170" s="303">
        <v>130</v>
      </c>
      <c r="G170" s="263">
        <f>E170*F170</f>
        <v>18200</v>
      </c>
      <c r="H170" s="204"/>
      <c r="I170" s="246"/>
      <c r="J170" s="204"/>
      <c r="K170" s="246"/>
    </row>
    <row r="171" spans="1:11" hidden="1" outlineLevel="1" x14ac:dyDescent="0.2">
      <c r="A171" s="242"/>
      <c r="B171" s="241" t="s">
        <v>1367</v>
      </c>
      <c r="C171" s="241" t="s">
        <v>654</v>
      </c>
      <c r="D171" s="242" t="s">
        <v>611</v>
      </c>
      <c r="E171" s="243">
        <v>80</v>
      </c>
      <c r="F171" s="303">
        <v>1350</v>
      </c>
      <c r="G171" s="263">
        <f>E171*F171</f>
        <v>108000</v>
      </c>
      <c r="H171" s="204"/>
      <c r="I171" s="246"/>
      <c r="J171" s="204"/>
      <c r="K171" s="246"/>
    </row>
    <row r="172" spans="1:11" hidden="1" outlineLevel="1" x14ac:dyDescent="0.2">
      <c r="A172" s="242"/>
      <c r="B172" s="241" t="s">
        <v>1902</v>
      </c>
      <c r="C172" s="241" t="s">
        <v>561</v>
      </c>
      <c r="D172" s="242" t="s">
        <v>611</v>
      </c>
      <c r="E172" s="243">
        <v>0</v>
      </c>
      <c r="F172" s="303">
        <v>38</v>
      </c>
      <c r="G172" s="263">
        <f>E172*F172</f>
        <v>0</v>
      </c>
      <c r="H172" s="204"/>
      <c r="I172" s="246"/>
      <c r="J172" s="204"/>
      <c r="K172" s="246"/>
    </row>
    <row r="173" spans="1:11" hidden="1" outlineLevel="1" x14ac:dyDescent="0.2">
      <c r="A173" s="242"/>
      <c r="B173" s="241"/>
      <c r="C173" s="241"/>
      <c r="D173" s="242"/>
      <c r="E173" s="243"/>
      <c r="F173" s="303"/>
      <c r="G173" s="244"/>
      <c r="H173" s="204"/>
      <c r="I173" s="246"/>
      <c r="J173" s="204"/>
      <c r="K173" s="246"/>
    </row>
    <row r="174" spans="1:11" ht="12" thickBot="1" x14ac:dyDescent="0.25"/>
    <row r="175" spans="1:11" ht="12" collapsed="1" thickBot="1" x14ac:dyDescent="0.25">
      <c r="A175" s="218" t="s">
        <v>675</v>
      </c>
      <c r="B175" s="219"/>
      <c r="C175" s="219"/>
      <c r="D175" s="220"/>
      <c r="E175" s="222"/>
      <c r="F175" s="275"/>
      <c r="G175" s="223">
        <f>SUM(G177:G183)</f>
        <v>550000</v>
      </c>
      <c r="J175" s="204"/>
    </row>
    <row r="176" spans="1:11" hidden="1" outlineLevel="1" x14ac:dyDescent="0.2">
      <c r="A176" s="224"/>
      <c r="B176" s="224"/>
      <c r="C176" s="224"/>
      <c r="D176" s="224"/>
      <c r="E176" s="224"/>
      <c r="F176" s="293"/>
      <c r="G176" s="224"/>
      <c r="J176" s="204"/>
    </row>
    <row r="177" spans="1:10" hidden="1" outlineLevel="1" x14ac:dyDescent="0.2">
      <c r="A177" s="225" t="s">
        <v>793</v>
      </c>
      <c r="B177" s="224"/>
      <c r="C177" s="224"/>
      <c r="D177" s="225" t="s">
        <v>642</v>
      </c>
      <c r="E177" s="226">
        <v>0</v>
      </c>
      <c r="F177" s="296">
        <v>200000</v>
      </c>
      <c r="G177" s="229">
        <f>E177*F177</f>
        <v>0</v>
      </c>
      <c r="H177" s="203">
        <f>G177</f>
        <v>0</v>
      </c>
      <c r="J177" s="204"/>
    </row>
    <row r="178" spans="1:10" hidden="1" outlineLevel="1" x14ac:dyDescent="0.2">
      <c r="A178" s="225" t="s">
        <v>1546</v>
      </c>
      <c r="B178" s="224" t="s">
        <v>1435</v>
      </c>
      <c r="C178" s="224">
        <v>16</v>
      </c>
      <c r="D178" s="225" t="s">
        <v>642</v>
      </c>
      <c r="E178" s="226">
        <v>0</v>
      </c>
      <c r="F178" s="296">
        <v>4320</v>
      </c>
      <c r="G178" s="229">
        <f>E178*F178</f>
        <v>0</v>
      </c>
      <c r="H178" s="203">
        <f>G178</f>
        <v>0</v>
      </c>
      <c r="J178" s="204"/>
    </row>
    <row r="179" spans="1:10" hidden="1" outlineLevel="1" x14ac:dyDescent="0.2">
      <c r="A179" s="225" t="s">
        <v>1480</v>
      </c>
      <c r="B179" s="224"/>
      <c r="C179" s="224"/>
      <c r="D179" s="225" t="s">
        <v>642</v>
      </c>
      <c r="E179" s="226">
        <v>0</v>
      </c>
      <c r="F179" s="296">
        <v>91096</v>
      </c>
      <c r="G179" s="229">
        <f>E179*F179</f>
        <v>0</v>
      </c>
      <c r="H179" s="203">
        <f>G179</f>
        <v>0</v>
      </c>
      <c r="J179" s="204"/>
    </row>
    <row r="180" spans="1:10" hidden="1" outlineLevel="1" x14ac:dyDescent="0.2">
      <c r="A180" s="225" t="s">
        <v>1424</v>
      </c>
      <c r="B180" s="224"/>
      <c r="C180" s="224"/>
      <c r="D180" s="225"/>
      <c r="E180" s="226"/>
      <c r="F180" s="296"/>
      <c r="G180" s="263">
        <v>250000</v>
      </c>
      <c r="J180" s="204"/>
    </row>
    <row r="181" spans="1:10" hidden="1" outlineLevel="1" x14ac:dyDescent="0.2">
      <c r="A181" s="225" t="s">
        <v>856</v>
      </c>
      <c r="B181" s="224"/>
      <c r="C181" s="224"/>
      <c r="D181" s="225"/>
      <c r="E181" s="226"/>
      <c r="F181" s="296"/>
      <c r="G181" s="263">
        <v>200000</v>
      </c>
      <c r="J181" s="204"/>
    </row>
    <row r="182" spans="1:10" hidden="1" outlineLevel="1" x14ac:dyDescent="0.2">
      <c r="A182" s="225" t="s">
        <v>857</v>
      </c>
      <c r="B182" s="224"/>
      <c r="C182" s="224"/>
      <c r="D182" s="225"/>
      <c r="E182" s="226"/>
      <c r="F182" s="296"/>
      <c r="G182" s="263">
        <v>100000</v>
      </c>
      <c r="J182" s="204"/>
    </row>
    <row r="183" spans="1:10" hidden="1" outlineLevel="1" x14ac:dyDescent="0.2">
      <c r="A183" s="225"/>
      <c r="B183" s="224"/>
      <c r="C183" s="224"/>
      <c r="D183" s="225"/>
      <c r="E183" s="226"/>
      <c r="F183" s="296"/>
      <c r="G183" s="227"/>
      <c r="J183" s="204"/>
    </row>
    <row r="184" spans="1:10" ht="12" thickBot="1" x14ac:dyDescent="0.25"/>
    <row r="185" spans="1:10" ht="12" collapsed="1" thickBot="1" x14ac:dyDescent="0.25">
      <c r="A185" s="218" t="s">
        <v>672</v>
      </c>
      <c r="B185" s="219"/>
      <c r="C185" s="219"/>
      <c r="D185" s="220"/>
      <c r="E185" s="222"/>
      <c r="F185" s="275"/>
      <c r="G185" s="223">
        <f>SUM(G186:G193)</f>
        <v>2312500</v>
      </c>
      <c r="J185" s="239">
        <v>500000</v>
      </c>
    </row>
    <row r="186" spans="1:10" hidden="1" outlineLevel="1" x14ac:dyDescent="0.2">
      <c r="A186" s="225"/>
      <c r="B186" s="224"/>
      <c r="C186" s="224"/>
      <c r="D186" s="225"/>
      <c r="E186" s="226"/>
      <c r="F186" s="296"/>
      <c r="G186" s="227"/>
      <c r="J186" s="204"/>
    </row>
    <row r="187" spans="1:10" hidden="1" outlineLevel="1" x14ac:dyDescent="0.2">
      <c r="A187" s="225" t="s">
        <v>1078</v>
      </c>
      <c r="B187" s="224"/>
      <c r="C187" s="224"/>
      <c r="D187" s="225" t="s">
        <v>642</v>
      </c>
      <c r="E187" s="226">
        <v>1</v>
      </c>
      <c r="F187" s="296">
        <v>1600000</v>
      </c>
      <c r="G187" s="263">
        <f>E187*F187</f>
        <v>1600000</v>
      </c>
      <c r="J187" s="204"/>
    </row>
    <row r="188" spans="1:10" hidden="1" outlineLevel="1" x14ac:dyDescent="0.2">
      <c r="A188" s="225"/>
      <c r="B188" s="224" t="s">
        <v>147</v>
      </c>
      <c r="C188" s="224"/>
      <c r="D188" s="225" t="s">
        <v>618</v>
      </c>
      <c r="E188" s="226">
        <v>18.600000000000001</v>
      </c>
      <c r="F188" s="296">
        <v>3000</v>
      </c>
      <c r="G188" s="263">
        <f>E188*F188</f>
        <v>55800.000000000007</v>
      </c>
      <c r="J188" s="204"/>
    </row>
    <row r="189" spans="1:10" hidden="1" outlineLevel="1" x14ac:dyDescent="0.2">
      <c r="A189" s="225" t="s">
        <v>1079</v>
      </c>
      <c r="B189" s="224" t="s">
        <v>1169</v>
      </c>
      <c r="C189" s="224"/>
      <c r="D189" s="225" t="s">
        <v>642</v>
      </c>
      <c r="E189" s="226">
        <v>1</v>
      </c>
      <c r="F189" s="296">
        <v>600000</v>
      </c>
      <c r="G189" s="263">
        <f>E189*F189</f>
        <v>600000</v>
      </c>
      <c r="J189" s="204"/>
    </row>
    <row r="190" spans="1:10" hidden="1" outlineLevel="1" x14ac:dyDescent="0.2">
      <c r="A190" s="225"/>
      <c r="B190" s="224"/>
      <c r="C190" s="224"/>
      <c r="D190" s="225"/>
      <c r="E190" s="226"/>
      <c r="F190" s="296"/>
      <c r="G190" s="263"/>
      <c r="J190" s="204"/>
    </row>
    <row r="191" spans="1:10" hidden="1" outlineLevel="1" x14ac:dyDescent="0.2">
      <c r="A191" s="225" t="s">
        <v>1170</v>
      </c>
      <c r="B191" s="224" t="s">
        <v>551</v>
      </c>
      <c r="C191" s="224" t="s">
        <v>553</v>
      </c>
      <c r="D191" s="225" t="s">
        <v>618</v>
      </c>
      <c r="E191" s="226">
        <v>100</v>
      </c>
      <c r="F191" s="296">
        <v>282</v>
      </c>
      <c r="G191" s="263">
        <f>E191*F191</f>
        <v>28200</v>
      </c>
      <c r="J191" s="204"/>
    </row>
    <row r="192" spans="1:10" ht="12.75" hidden="1" outlineLevel="1" x14ac:dyDescent="0.2">
      <c r="A192" s="589" t="s">
        <v>1168</v>
      </c>
      <c r="B192" s="224" t="s">
        <v>552</v>
      </c>
      <c r="C192" s="224" t="s">
        <v>553</v>
      </c>
      <c r="D192" s="225" t="s">
        <v>618</v>
      </c>
      <c r="E192" s="226">
        <v>100</v>
      </c>
      <c r="F192" s="296">
        <v>285</v>
      </c>
      <c r="G192" s="263">
        <f>E192*F192</f>
        <v>28500</v>
      </c>
      <c r="J192" s="204"/>
    </row>
    <row r="193" spans="1:10" hidden="1" outlineLevel="1" x14ac:dyDescent="0.2">
      <c r="A193" s="225"/>
      <c r="B193" s="224"/>
      <c r="C193" s="224"/>
      <c r="D193" s="225"/>
      <c r="E193" s="226"/>
      <c r="F193" s="296"/>
      <c r="G193" s="227"/>
      <c r="J193" s="204"/>
    </row>
    <row r="194" spans="1:10" ht="12" thickBot="1" x14ac:dyDescent="0.25">
      <c r="A194" s="214"/>
      <c r="B194" s="237"/>
      <c r="C194" s="237"/>
      <c r="D194" s="214"/>
      <c r="E194" s="215"/>
      <c r="F194" s="302"/>
      <c r="G194" s="238"/>
      <c r="J194" s="204"/>
    </row>
    <row r="195" spans="1:10" ht="12" collapsed="1" thickBot="1" x14ac:dyDescent="0.25">
      <c r="A195" s="218" t="s">
        <v>673</v>
      </c>
      <c r="B195" s="219"/>
      <c r="C195" s="219"/>
      <c r="D195" s="220"/>
      <c r="E195" s="222"/>
      <c r="F195" s="275"/>
      <c r="G195" s="223">
        <f>SUM(G196:G244)</f>
        <v>3816000</v>
      </c>
      <c r="J195" s="239">
        <f>SUM(J196:J233)</f>
        <v>773000</v>
      </c>
    </row>
    <row r="196" spans="1:10" hidden="1" outlineLevel="1" x14ac:dyDescent="0.2">
      <c r="A196" s="225"/>
      <c r="B196" s="224"/>
      <c r="C196" s="224"/>
      <c r="D196" s="225"/>
      <c r="E196" s="226"/>
      <c r="F196" s="296"/>
      <c r="G196" s="227"/>
      <c r="J196" s="204"/>
    </row>
    <row r="197" spans="1:10" hidden="1" outlineLevel="1" x14ac:dyDescent="0.2">
      <c r="A197" s="225" t="s">
        <v>663</v>
      </c>
      <c r="B197" s="224" t="s">
        <v>1301</v>
      </c>
      <c r="C197" s="224" t="s">
        <v>827</v>
      </c>
      <c r="D197" s="225" t="s">
        <v>642</v>
      </c>
      <c r="E197" s="226">
        <v>1</v>
      </c>
      <c r="F197" s="296">
        <v>503000</v>
      </c>
      <c r="G197" s="263">
        <f t="shared" ref="G197:G203" si="6">E197*F197</f>
        <v>503000</v>
      </c>
      <c r="J197" s="248">
        <f>G197-I197</f>
        <v>503000</v>
      </c>
    </row>
    <row r="198" spans="1:10" hidden="1" outlineLevel="1" x14ac:dyDescent="0.2">
      <c r="A198" s="225" t="s">
        <v>510</v>
      </c>
      <c r="B198" s="224" t="s">
        <v>825</v>
      </c>
      <c r="C198" s="224" t="s">
        <v>826</v>
      </c>
      <c r="D198" s="225" t="s">
        <v>642</v>
      </c>
      <c r="E198" s="226">
        <v>1</v>
      </c>
      <c r="F198" s="296">
        <v>207000</v>
      </c>
      <c r="G198" s="263">
        <f t="shared" si="6"/>
        <v>207000</v>
      </c>
      <c r="J198" s="248"/>
    </row>
    <row r="199" spans="1:10" hidden="1" outlineLevel="1" x14ac:dyDescent="0.2">
      <c r="A199" s="225" t="s">
        <v>511</v>
      </c>
      <c r="B199" s="224" t="s">
        <v>828</v>
      </c>
      <c r="C199" s="224" t="s">
        <v>827</v>
      </c>
      <c r="D199" s="225" t="s">
        <v>642</v>
      </c>
      <c r="E199" s="226">
        <v>1</v>
      </c>
      <c r="F199" s="296">
        <v>32000</v>
      </c>
      <c r="G199" s="263">
        <f>E199*F199</f>
        <v>32000</v>
      </c>
      <c r="J199" s="248"/>
    </row>
    <row r="200" spans="1:10" hidden="1" outlineLevel="1" x14ac:dyDescent="0.2">
      <c r="A200" s="225" t="s">
        <v>512</v>
      </c>
      <c r="B200" s="224" t="s">
        <v>1474</v>
      </c>
      <c r="C200" s="224" t="s">
        <v>826</v>
      </c>
      <c r="D200" s="225" t="s">
        <v>642</v>
      </c>
      <c r="E200" s="226">
        <v>1</v>
      </c>
      <c r="F200" s="296">
        <v>135000</v>
      </c>
      <c r="G200" s="263">
        <f t="shared" si="6"/>
        <v>135000</v>
      </c>
      <c r="J200" s="248"/>
    </row>
    <row r="201" spans="1:10" hidden="1" outlineLevel="1" x14ac:dyDescent="0.2">
      <c r="A201" s="225"/>
      <c r="B201" s="224" t="s">
        <v>1118</v>
      </c>
      <c r="C201" s="224"/>
      <c r="D201" s="225" t="s">
        <v>642</v>
      </c>
      <c r="E201" s="226">
        <v>1</v>
      </c>
      <c r="F201" s="296">
        <v>300000</v>
      </c>
      <c r="G201" s="263">
        <f t="shared" si="6"/>
        <v>300000</v>
      </c>
      <c r="J201" s="248"/>
    </row>
    <row r="202" spans="1:10" hidden="1" outlineLevel="1" x14ac:dyDescent="0.2">
      <c r="A202" s="225"/>
      <c r="B202" s="224" t="s">
        <v>8</v>
      </c>
      <c r="C202" s="224"/>
      <c r="D202" s="225" t="s">
        <v>642</v>
      </c>
      <c r="E202" s="226">
        <v>1</v>
      </c>
      <c r="F202" s="296">
        <v>342000</v>
      </c>
      <c r="G202" s="263">
        <f t="shared" si="6"/>
        <v>342000</v>
      </c>
      <c r="J202" s="248"/>
    </row>
    <row r="203" spans="1:10" hidden="1" outlineLevel="1" x14ac:dyDescent="0.2">
      <c r="A203" s="225"/>
      <c r="B203" s="224" t="s">
        <v>1119</v>
      </c>
      <c r="C203" s="224"/>
      <c r="D203" s="225" t="s">
        <v>642</v>
      </c>
      <c r="E203" s="226">
        <v>1</v>
      </c>
      <c r="F203" s="296">
        <v>316000</v>
      </c>
      <c r="G203" s="263">
        <f t="shared" si="6"/>
        <v>316000</v>
      </c>
      <c r="J203" s="204"/>
    </row>
    <row r="204" spans="1:10" hidden="1" outlineLevel="1" x14ac:dyDescent="0.2">
      <c r="A204" s="225"/>
      <c r="B204" s="224"/>
      <c r="C204" s="224"/>
      <c r="D204" s="225"/>
      <c r="E204" s="226"/>
      <c r="F204" s="296"/>
      <c r="G204" s="263"/>
      <c r="J204" s="204"/>
    </row>
    <row r="205" spans="1:10" hidden="1" outlineLevel="1" x14ac:dyDescent="0.2">
      <c r="A205" s="225" t="s">
        <v>664</v>
      </c>
      <c r="B205" s="224" t="s">
        <v>830</v>
      </c>
      <c r="C205" s="224" t="s">
        <v>829</v>
      </c>
      <c r="D205" s="225" t="s">
        <v>642</v>
      </c>
      <c r="E205" s="226">
        <v>1</v>
      </c>
      <c r="F205" s="296">
        <v>750000</v>
      </c>
      <c r="G205" s="263">
        <f>E205*F205</f>
        <v>750000</v>
      </c>
      <c r="J205" s="204"/>
    </row>
    <row r="206" spans="1:10" hidden="1" outlineLevel="1" x14ac:dyDescent="0.2">
      <c r="A206" s="225"/>
      <c r="B206" s="224" t="s">
        <v>705</v>
      </c>
      <c r="C206" s="224"/>
      <c r="D206" s="225"/>
      <c r="E206" s="226"/>
      <c r="F206" s="296"/>
      <c r="G206" s="227"/>
      <c r="J206" s="204"/>
    </row>
    <row r="207" spans="1:10" ht="22.5" hidden="1" outlineLevel="1" x14ac:dyDescent="0.2">
      <c r="A207" s="225"/>
      <c r="B207" s="224"/>
      <c r="C207" s="224" t="s">
        <v>403</v>
      </c>
      <c r="D207" s="225"/>
      <c r="E207" s="226"/>
      <c r="F207" s="296"/>
      <c r="G207" s="227"/>
      <c r="J207" s="204"/>
    </row>
    <row r="208" spans="1:10" hidden="1" outlineLevel="1" x14ac:dyDescent="0.2">
      <c r="A208" s="225"/>
      <c r="B208" s="224"/>
      <c r="C208" s="224" t="s">
        <v>1104</v>
      </c>
      <c r="D208" s="225"/>
      <c r="E208" s="226"/>
      <c r="F208" s="296"/>
      <c r="G208" s="227"/>
      <c r="J208" s="204"/>
    </row>
    <row r="209" spans="1:10" hidden="1" outlineLevel="1" x14ac:dyDescent="0.2">
      <c r="A209" s="225"/>
      <c r="B209" s="224"/>
      <c r="C209" s="224"/>
      <c r="D209" s="225"/>
      <c r="E209" s="226"/>
      <c r="F209" s="296"/>
      <c r="G209" s="227"/>
      <c r="J209" s="204"/>
    </row>
    <row r="210" spans="1:10" hidden="1" outlineLevel="1" x14ac:dyDescent="0.2">
      <c r="A210" s="225"/>
      <c r="B210" s="224" t="s">
        <v>1127</v>
      </c>
      <c r="C210" s="224" t="s">
        <v>1126</v>
      </c>
      <c r="D210" s="225" t="s">
        <v>642</v>
      </c>
      <c r="E210" s="226">
        <v>1</v>
      </c>
      <c r="F210" s="296">
        <v>170000</v>
      </c>
      <c r="G210" s="263">
        <f>E210*F210</f>
        <v>170000</v>
      </c>
      <c r="J210" s="204"/>
    </row>
    <row r="211" spans="1:10" hidden="1" outlineLevel="1" x14ac:dyDescent="0.2">
      <c r="A211" s="225" t="s">
        <v>714</v>
      </c>
      <c r="B211" s="224" t="s">
        <v>1733</v>
      </c>
      <c r="C211" s="224" t="s">
        <v>1661</v>
      </c>
      <c r="D211" s="225" t="s">
        <v>642</v>
      </c>
      <c r="E211" s="226">
        <v>1</v>
      </c>
      <c r="F211" s="296">
        <v>152000</v>
      </c>
      <c r="G211" s="229">
        <f>E211*F211</f>
        <v>152000</v>
      </c>
      <c r="H211" s="203">
        <f>G211</f>
        <v>152000</v>
      </c>
      <c r="J211" s="204"/>
    </row>
    <row r="212" spans="1:10" hidden="1" outlineLevel="1" x14ac:dyDescent="0.2">
      <c r="A212" s="225"/>
      <c r="B212" s="224"/>
      <c r="C212" s="224"/>
      <c r="D212" s="225"/>
      <c r="E212" s="226"/>
      <c r="F212" s="296"/>
      <c r="G212" s="227"/>
      <c r="J212" s="204"/>
    </row>
    <row r="213" spans="1:10" hidden="1" outlineLevel="1" x14ac:dyDescent="0.2">
      <c r="A213" s="242"/>
      <c r="B213" s="242"/>
      <c r="C213" s="242"/>
      <c r="D213" s="242"/>
      <c r="E213" s="242"/>
      <c r="F213" s="306"/>
      <c r="G213" s="242"/>
      <c r="H213" s="242"/>
      <c r="I213" s="242"/>
      <c r="J213" s="204"/>
    </row>
    <row r="214" spans="1:10" hidden="1" outlineLevel="1" x14ac:dyDescent="0.2">
      <c r="A214" s="242" t="s">
        <v>665</v>
      </c>
      <c r="B214" s="241" t="s">
        <v>864</v>
      </c>
      <c r="C214" s="241"/>
      <c r="D214" s="242" t="s">
        <v>642</v>
      </c>
      <c r="E214" s="243">
        <v>1</v>
      </c>
      <c r="F214" s="303">
        <v>250000</v>
      </c>
      <c r="G214" s="263">
        <f>E214*F214</f>
        <v>250000</v>
      </c>
      <c r="H214" s="204"/>
      <c r="I214" s="246"/>
      <c r="J214" s="248">
        <f t="shared" ref="J214:J231" si="7">G214-I214</f>
        <v>250000</v>
      </c>
    </row>
    <row r="215" spans="1:10" hidden="1" outlineLevel="1" x14ac:dyDescent="0.2">
      <c r="A215" s="242"/>
      <c r="B215" s="241" t="s">
        <v>704</v>
      </c>
      <c r="C215" s="241" t="s">
        <v>1324</v>
      </c>
      <c r="D215" s="242" t="s">
        <v>642</v>
      </c>
      <c r="E215" s="266">
        <v>0</v>
      </c>
      <c r="F215" s="303">
        <v>500000</v>
      </c>
      <c r="G215" s="263">
        <f>E215*F215</f>
        <v>0</v>
      </c>
      <c r="H215" s="204"/>
      <c r="I215" s="246"/>
      <c r="J215" s="248">
        <f t="shared" si="7"/>
        <v>0</v>
      </c>
    </row>
    <row r="216" spans="1:10" hidden="1" outlineLevel="1" x14ac:dyDescent="0.2">
      <c r="A216" s="242"/>
      <c r="B216" s="241" t="s">
        <v>135</v>
      </c>
      <c r="C216" s="241"/>
      <c r="D216" s="242" t="s">
        <v>642</v>
      </c>
      <c r="E216" s="266">
        <v>0</v>
      </c>
      <c r="F216" s="303">
        <v>100000</v>
      </c>
      <c r="G216" s="263">
        <f>E216*F216</f>
        <v>0</v>
      </c>
      <c r="H216" s="204"/>
      <c r="I216" s="246"/>
      <c r="J216" s="248">
        <f t="shared" si="7"/>
        <v>0</v>
      </c>
    </row>
    <row r="217" spans="1:10" hidden="1" outlineLevel="1" x14ac:dyDescent="0.2">
      <c r="A217" s="242"/>
      <c r="B217" s="241" t="s">
        <v>136</v>
      </c>
      <c r="C217" s="241"/>
      <c r="D217" s="242" t="s">
        <v>642</v>
      </c>
      <c r="E217" s="266">
        <f>IF($D$4=1,1,0)</f>
        <v>1</v>
      </c>
      <c r="F217" s="303">
        <v>20000</v>
      </c>
      <c r="G217" s="263">
        <f>E217*F217</f>
        <v>20000</v>
      </c>
      <c r="H217" s="204"/>
      <c r="I217" s="246"/>
      <c r="J217" s="248">
        <f>G217-I217</f>
        <v>20000</v>
      </c>
    </row>
    <row r="218" spans="1:10" hidden="1" outlineLevel="1" x14ac:dyDescent="0.2">
      <c r="A218" s="242"/>
      <c r="B218" s="241" t="s">
        <v>855</v>
      </c>
      <c r="C218" s="241"/>
      <c r="D218" s="242" t="s">
        <v>642</v>
      </c>
      <c r="E218" s="266">
        <v>0</v>
      </c>
      <c r="F218" s="303">
        <v>100000</v>
      </c>
      <c r="G218" s="263">
        <f>E218*F218</f>
        <v>0</v>
      </c>
      <c r="H218" s="204"/>
      <c r="I218" s="246"/>
      <c r="J218" s="248">
        <f t="shared" si="7"/>
        <v>0</v>
      </c>
    </row>
    <row r="219" spans="1:10" hidden="1" outlineLevel="1" x14ac:dyDescent="0.2">
      <c r="A219" s="242"/>
      <c r="B219" s="241" t="s">
        <v>1019</v>
      </c>
      <c r="C219" s="241" t="s">
        <v>53</v>
      </c>
      <c r="D219" s="242"/>
      <c r="E219" s="243"/>
      <c r="F219" s="303"/>
      <c r="G219" s="244"/>
      <c r="H219" s="204"/>
      <c r="I219" s="246"/>
      <c r="J219" s="248">
        <f t="shared" si="7"/>
        <v>0</v>
      </c>
    </row>
    <row r="220" spans="1:10" hidden="1" outlineLevel="1" x14ac:dyDescent="0.2">
      <c r="A220" s="242"/>
      <c r="B220" s="241" t="s">
        <v>1022</v>
      </c>
      <c r="C220" s="241"/>
      <c r="D220" s="242"/>
      <c r="E220" s="243"/>
      <c r="F220" s="303"/>
      <c r="G220" s="244"/>
      <c r="H220" s="204"/>
      <c r="I220" s="246"/>
      <c r="J220" s="248">
        <f t="shared" si="7"/>
        <v>0</v>
      </c>
    </row>
    <row r="221" spans="1:10" hidden="1" outlineLevel="1" x14ac:dyDescent="0.2">
      <c r="A221" s="242"/>
      <c r="B221" s="241" t="s">
        <v>1784</v>
      </c>
      <c r="C221" s="241"/>
      <c r="D221" s="242"/>
      <c r="E221" s="243"/>
      <c r="F221" s="303"/>
      <c r="G221" s="244"/>
      <c r="H221" s="204"/>
      <c r="I221" s="246"/>
      <c r="J221" s="248"/>
    </row>
    <row r="222" spans="1:10" ht="12" hidden="1" customHeight="1" outlineLevel="1" x14ac:dyDescent="0.2">
      <c r="A222" s="242"/>
      <c r="B222" s="241" t="s">
        <v>364</v>
      </c>
      <c r="C222" s="241" t="s">
        <v>365</v>
      </c>
      <c r="D222" s="241"/>
      <c r="E222" s="243"/>
      <c r="F222" s="303"/>
      <c r="G222" s="244"/>
      <c r="H222" s="204"/>
      <c r="I222" s="246"/>
      <c r="J222" s="248">
        <f>G222-I222</f>
        <v>0</v>
      </c>
    </row>
    <row r="223" spans="1:10" hidden="1" outlineLevel="1" x14ac:dyDescent="0.2">
      <c r="A223" s="241" t="s">
        <v>1785</v>
      </c>
      <c r="B223" s="241" t="s">
        <v>1786</v>
      </c>
      <c r="C223" s="241">
        <v>2480</v>
      </c>
      <c r="D223" s="242"/>
      <c r="E223" s="243"/>
      <c r="F223" s="303"/>
      <c r="G223" s="244"/>
      <c r="H223" s="204"/>
      <c r="I223" s="246"/>
      <c r="J223" s="248"/>
    </row>
    <row r="224" spans="1:10" hidden="1" outlineLevel="1" x14ac:dyDescent="0.2">
      <c r="A224" s="241" t="s">
        <v>1292</v>
      </c>
      <c r="B224" s="241" t="s">
        <v>1787</v>
      </c>
      <c r="C224" s="241">
        <v>2640</v>
      </c>
      <c r="D224" s="242"/>
      <c r="E224" s="243"/>
      <c r="F224" s="303"/>
      <c r="G224" s="244"/>
      <c r="H224" s="204"/>
      <c r="I224" s="246"/>
      <c r="J224" s="248"/>
    </row>
    <row r="225" spans="1:10" hidden="1" outlineLevel="1" x14ac:dyDescent="0.2">
      <c r="A225" s="241" t="s">
        <v>1785</v>
      </c>
      <c r="B225" s="241" t="s">
        <v>1783</v>
      </c>
      <c r="C225" s="241">
        <v>1890</v>
      </c>
      <c r="D225" s="242"/>
      <c r="E225" s="243"/>
      <c r="F225" s="303"/>
      <c r="G225" s="244"/>
      <c r="H225" s="204"/>
      <c r="I225" s="246"/>
      <c r="J225" s="248"/>
    </row>
    <row r="226" spans="1:10" hidden="1" outlineLevel="1" x14ac:dyDescent="0.2">
      <c r="A226" s="241" t="s">
        <v>1473</v>
      </c>
      <c r="B226" s="241" t="s">
        <v>1472</v>
      </c>
      <c r="C226" s="241">
        <v>360</v>
      </c>
      <c r="D226" s="242"/>
      <c r="E226" s="243"/>
      <c r="F226" s="303"/>
      <c r="G226" s="244"/>
      <c r="H226" s="204"/>
      <c r="I226" s="246"/>
      <c r="J226" s="248"/>
    </row>
    <row r="227" spans="1:10" ht="12.75" hidden="1" customHeight="1" outlineLevel="1" x14ac:dyDescent="0.2">
      <c r="A227" s="241"/>
      <c r="B227" s="675" t="s">
        <v>2197</v>
      </c>
      <c r="C227" s="241"/>
      <c r="D227" s="242"/>
      <c r="E227" s="243"/>
      <c r="F227" s="303"/>
      <c r="G227" s="244"/>
      <c r="H227" s="204"/>
      <c r="I227" s="246"/>
      <c r="J227" s="248"/>
    </row>
    <row r="228" spans="1:10" hidden="1" outlineLevel="1" x14ac:dyDescent="0.2">
      <c r="A228" s="241"/>
      <c r="B228" s="241" t="s">
        <v>1293</v>
      </c>
      <c r="C228" s="241"/>
      <c r="D228" s="242" t="s">
        <v>642</v>
      </c>
      <c r="E228" s="243">
        <v>0</v>
      </c>
      <c r="F228" s="303">
        <v>600000</v>
      </c>
      <c r="G228" s="229">
        <f>E228*F228</f>
        <v>0</v>
      </c>
      <c r="H228" s="204" t="s">
        <v>1529</v>
      </c>
      <c r="I228" s="246"/>
      <c r="J228" s="248">
        <f t="shared" si="7"/>
        <v>0</v>
      </c>
    </row>
    <row r="229" spans="1:10" hidden="1" outlineLevel="1" x14ac:dyDescent="0.2">
      <c r="A229" s="242"/>
      <c r="B229" s="241" t="s">
        <v>987</v>
      </c>
      <c r="C229" s="241"/>
      <c r="D229" s="242" t="s">
        <v>642</v>
      </c>
      <c r="E229" s="243">
        <v>0</v>
      </c>
      <c r="F229" s="303">
        <v>50000</v>
      </c>
      <c r="G229" s="229">
        <f>E229*F229</f>
        <v>0</v>
      </c>
      <c r="H229" s="204" t="s">
        <v>1529</v>
      </c>
      <c r="I229" s="246"/>
      <c r="J229" s="248">
        <f t="shared" si="7"/>
        <v>0</v>
      </c>
    </row>
    <row r="230" spans="1:10" hidden="1" outlineLevel="1" x14ac:dyDescent="0.2">
      <c r="A230" s="242"/>
      <c r="B230" s="241" t="s">
        <v>1302</v>
      </c>
      <c r="C230" s="241" t="s">
        <v>964</v>
      </c>
      <c r="D230" s="242"/>
      <c r="E230" s="243"/>
      <c r="F230" s="303" t="s">
        <v>898</v>
      </c>
      <c r="G230" s="244"/>
      <c r="H230" s="204"/>
      <c r="I230" s="246"/>
      <c r="J230" s="248">
        <f t="shared" si="7"/>
        <v>0</v>
      </c>
    </row>
    <row r="231" spans="1:10" hidden="1" outlineLevel="1" x14ac:dyDescent="0.2">
      <c r="A231" s="242"/>
      <c r="B231" s="241" t="s">
        <v>1547</v>
      </c>
      <c r="C231" s="241" t="s">
        <v>1425</v>
      </c>
      <c r="D231" s="242"/>
      <c r="E231" s="243"/>
      <c r="F231" s="303" t="s">
        <v>898</v>
      </c>
      <c r="G231" s="244"/>
      <c r="H231" s="204"/>
      <c r="I231" s="246"/>
      <c r="J231" s="248">
        <f t="shared" si="7"/>
        <v>0</v>
      </c>
    </row>
    <row r="232" spans="1:10" hidden="1" outlineLevel="1" x14ac:dyDescent="0.2">
      <c r="A232" s="242"/>
      <c r="B232" s="241"/>
      <c r="C232" s="241"/>
      <c r="D232" s="242"/>
      <c r="E232" s="243"/>
      <c r="F232" s="303"/>
      <c r="G232" s="244"/>
      <c r="H232" s="204"/>
      <c r="I232" s="246"/>
      <c r="J232" s="248"/>
    </row>
    <row r="233" spans="1:10" hidden="1" outlineLevel="1" x14ac:dyDescent="0.2">
      <c r="A233" s="242" t="s">
        <v>948</v>
      </c>
      <c r="B233" s="241" t="s">
        <v>1768</v>
      </c>
      <c r="C233" s="241" t="s">
        <v>1702</v>
      </c>
      <c r="D233" s="242" t="s">
        <v>642</v>
      </c>
      <c r="E233" s="266">
        <v>0</v>
      </c>
      <c r="F233" s="303">
        <v>400000</v>
      </c>
      <c r="G233" s="263">
        <f>E233*F233</f>
        <v>0</v>
      </c>
      <c r="H233" s="204"/>
      <c r="I233" s="246"/>
      <c r="J233" s="248">
        <f>G233-I233</f>
        <v>0</v>
      </c>
    </row>
    <row r="234" spans="1:10" hidden="1" outlineLevel="1" x14ac:dyDescent="0.2">
      <c r="A234" s="242"/>
      <c r="B234" s="241"/>
      <c r="C234" s="241"/>
      <c r="D234" s="242"/>
      <c r="E234" s="242"/>
      <c r="F234" s="242"/>
      <c r="G234" s="242"/>
      <c r="H234" s="204"/>
      <c r="I234" s="246"/>
      <c r="J234" s="248"/>
    </row>
    <row r="235" spans="1:10" hidden="1" outlineLevel="1" x14ac:dyDescent="0.2">
      <c r="A235" s="225"/>
      <c r="B235" s="224"/>
      <c r="C235" s="224"/>
      <c r="D235" s="225"/>
      <c r="E235" s="226"/>
      <c r="F235" s="296"/>
      <c r="G235" s="227"/>
      <c r="J235" s="204"/>
    </row>
    <row r="236" spans="1:10" hidden="1" outlineLevel="1" x14ac:dyDescent="0.2">
      <c r="A236" s="225" t="s">
        <v>666</v>
      </c>
      <c r="B236" s="224" t="s">
        <v>1425</v>
      </c>
      <c r="C236" s="224" t="s">
        <v>1428</v>
      </c>
      <c r="D236" s="225" t="s">
        <v>642</v>
      </c>
      <c r="E236" s="226">
        <v>0</v>
      </c>
      <c r="F236" s="296">
        <v>127000</v>
      </c>
      <c r="G236" s="263">
        <f>E236*F236</f>
        <v>0</v>
      </c>
      <c r="J236" s="204"/>
    </row>
    <row r="237" spans="1:10" hidden="1" outlineLevel="1" x14ac:dyDescent="0.2">
      <c r="A237" s="225" t="s">
        <v>1649</v>
      </c>
      <c r="B237" s="224" t="s">
        <v>1427</v>
      </c>
      <c r="C237" s="224" t="s">
        <v>1426</v>
      </c>
      <c r="D237" s="225" t="s">
        <v>642</v>
      </c>
      <c r="E237" s="226">
        <v>0</v>
      </c>
      <c r="F237" s="296">
        <v>166000</v>
      </c>
      <c r="G237" s="263">
        <f>E237*F237</f>
        <v>0</v>
      </c>
      <c r="J237" s="204"/>
    </row>
    <row r="238" spans="1:10" hidden="1" outlineLevel="1" x14ac:dyDescent="0.2">
      <c r="A238" s="225" t="s">
        <v>1650</v>
      </c>
      <c r="B238" s="224"/>
      <c r="C238" s="224" t="s">
        <v>1429</v>
      </c>
      <c r="D238" s="225" t="s">
        <v>642</v>
      </c>
      <c r="E238" s="226">
        <v>0</v>
      </c>
      <c r="F238" s="296">
        <v>197000</v>
      </c>
      <c r="G238" s="263">
        <f>E238*F238</f>
        <v>0</v>
      </c>
      <c r="J238" s="204"/>
    </row>
    <row r="239" spans="1:10" hidden="1" outlineLevel="1" x14ac:dyDescent="0.2">
      <c r="A239" s="225" t="s">
        <v>845</v>
      </c>
      <c r="B239" s="224"/>
      <c r="C239" s="224" t="s">
        <v>1430</v>
      </c>
      <c r="D239" s="225" t="s">
        <v>642</v>
      </c>
      <c r="E239" s="226">
        <v>1</v>
      </c>
      <c r="F239" s="296">
        <v>304000</v>
      </c>
      <c r="G239" s="263">
        <f>E239*F239</f>
        <v>304000</v>
      </c>
      <c r="J239" s="204"/>
    </row>
    <row r="240" spans="1:10" hidden="1" outlineLevel="1" x14ac:dyDescent="0.2">
      <c r="A240" s="225" t="s">
        <v>584</v>
      </c>
      <c r="B240" s="224"/>
      <c r="C240" s="224"/>
      <c r="D240" s="225"/>
      <c r="E240" s="226"/>
      <c r="F240" s="296"/>
      <c r="G240" s="227"/>
      <c r="J240" s="204"/>
    </row>
    <row r="241" spans="1:10" hidden="1" outlineLevel="1" x14ac:dyDescent="0.2">
      <c r="A241" s="225" t="s">
        <v>585</v>
      </c>
      <c r="B241" s="224" t="s">
        <v>586</v>
      </c>
      <c r="C241" s="224"/>
      <c r="D241" s="225"/>
      <c r="E241" s="226"/>
      <c r="F241" s="296"/>
      <c r="G241" s="227"/>
      <c r="J241" s="204"/>
    </row>
    <row r="242" spans="1:10" hidden="1" outlineLevel="1" x14ac:dyDescent="0.2">
      <c r="A242" s="225" t="s">
        <v>713</v>
      </c>
      <c r="B242" s="224" t="s">
        <v>1703</v>
      </c>
      <c r="C242" s="224"/>
      <c r="D242" s="225" t="s">
        <v>642</v>
      </c>
      <c r="E242" s="226">
        <v>1</v>
      </c>
      <c r="F242" s="296">
        <v>30000</v>
      </c>
      <c r="G242" s="229">
        <f>E242*F242</f>
        <v>30000</v>
      </c>
      <c r="H242" s="203">
        <f>G242</f>
        <v>30000</v>
      </c>
      <c r="J242" s="204"/>
    </row>
    <row r="243" spans="1:10" hidden="1" outlineLevel="1" x14ac:dyDescent="0.2">
      <c r="A243" s="225"/>
      <c r="B243" s="224" t="s">
        <v>1704</v>
      </c>
      <c r="C243" s="224"/>
      <c r="D243" s="225" t="s">
        <v>642</v>
      </c>
      <c r="E243" s="226">
        <v>1</v>
      </c>
      <c r="F243" s="296">
        <v>305000</v>
      </c>
      <c r="G243" s="263">
        <f>E243*F243</f>
        <v>305000</v>
      </c>
      <c r="J243" s="204"/>
    </row>
    <row r="244" spans="1:10" hidden="1" outlineLevel="1" x14ac:dyDescent="0.2">
      <c r="A244" s="225"/>
      <c r="B244" s="224"/>
      <c r="C244" s="224"/>
      <c r="D244" s="225"/>
      <c r="E244" s="226"/>
      <c r="F244" s="296"/>
      <c r="G244" s="227"/>
      <c r="J244" s="204"/>
    </row>
    <row r="245" spans="1:10" ht="12" thickBot="1" x14ac:dyDescent="0.25">
      <c r="A245" s="214"/>
      <c r="B245" s="237"/>
      <c r="C245" s="237"/>
      <c r="D245" s="214"/>
      <c r="E245" s="215"/>
      <c r="F245" s="302"/>
      <c r="G245" s="238"/>
      <c r="J245" s="204"/>
    </row>
    <row r="246" spans="1:10" ht="12" collapsed="1" thickBot="1" x14ac:dyDescent="0.25">
      <c r="A246" s="218" t="s">
        <v>669</v>
      </c>
      <c r="B246" s="219"/>
      <c r="C246" s="219"/>
      <c r="D246" s="220"/>
      <c r="E246" s="221">
        <v>1</v>
      </c>
      <c r="F246" s="275"/>
      <c r="G246" s="415">
        <f>SUM(G247:G306)*E246</f>
        <v>929645</v>
      </c>
      <c r="J246" s="204"/>
    </row>
    <row r="247" spans="1:10" ht="12" hidden="1" outlineLevel="1" thickBot="1" x14ac:dyDescent="0.25">
      <c r="A247" s="224"/>
      <c r="B247" s="231"/>
      <c r="C247" s="231"/>
      <c r="D247" s="232"/>
      <c r="E247" s="233"/>
      <c r="F247" s="300"/>
      <c r="G247" s="234"/>
      <c r="J247" s="204"/>
    </row>
    <row r="248" spans="1:10" hidden="1" outlineLevel="1" x14ac:dyDescent="0.2">
      <c r="A248" s="224" t="s">
        <v>613</v>
      </c>
      <c r="B248" s="503" t="s">
        <v>614</v>
      </c>
      <c r="C248" s="476" t="s">
        <v>778</v>
      </c>
      <c r="D248" s="477" t="s">
        <v>611</v>
      </c>
      <c r="E248" s="478">
        <v>5.61</v>
      </c>
      <c r="F248" s="504">
        <v>2000</v>
      </c>
      <c r="G248" s="480">
        <f>E248*F248</f>
        <v>11220</v>
      </c>
      <c r="J248" s="204"/>
    </row>
    <row r="249" spans="1:10" hidden="1" outlineLevel="1" x14ac:dyDescent="0.2">
      <c r="A249" s="224"/>
      <c r="B249" s="505"/>
      <c r="C249" s="482" t="s">
        <v>633</v>
      </c>
      <c r="D249" s="483" t="s">
        <v>611</v>
      </c>
      <c r="E249" s="484">
        <v>2.16</v>
      </c>
      <c r="F249" s="485">
        <v>2000</v>
      </c>
      <c r="G249" s="486">
        <f>E249*F249</f>
        <v>4320</v>
      </c>
      <c r="J249" s="204"/>
    </row>
    <row r="250" spans="1:10" hidden="1" outlineLevel="1" x14ac:dyDescent="0.2">
      <c r="A250" s="224"/>
      <c r="B250" s="505"/>
      <c r="C250" s="482" t="s">
        <v>641</v>
      </c>
      <c r="D250" s="483" t="s">
        <v>611</v>
      </c>
      <c r="E250" s="484">
        <v>9.02</v>
      </c>
      <c r="F250" s="485">
        <v>2000</v>
      </c>
      <c r="G250" s="486">
        <f>E250*F250</f>
        <v>18040</v>
      </c>
      <c r="J250" s="204"/>
    </row>
    <row r="251" spans="1:10" hidden="1" outlineLevel="1" x14ac:dyDescent="0.2">
      <c r="A251" s="224"/>
      <c r="B251" s="505"/>
      <c r="C251" s="482"/>
      <c r="D251" s="483"/>
      <c r="E251" s="484"/>
      <c r="F251" s="485"/>
      <c r="G251" s="486"/>
      <c r="J251" s="204"/>
    </row>
    <row r="252" spans="1:10" ht="12" hidden="1" outlineLevel="1" thickBot="1" x14ac:dyDescent="0.25">
      <c r="A252" s="224"/>
      <c r="B252" s="506" t="s">
        <v>1524</v>
      </c>
      <c r="C252" s="489" t="s">
        <v>778</v>
      </c>
      <c r="D252" s="490" t="s">
        <v>611</v>
      </c>
      <c r="E252" s="491">
        <v>3.2</v>
      </c>
      <c r="F252" s="492">
        <f>$F$248</f>
        <v>2000</v>
      </c>
      <c r="G252" s="493">
        <f>E252*F252</f>
        <v>6400</v>
      </c>
      <c r="J252" s="204"/>
    </row>
    <row r="253" spans="1:10" hidden="1" outlineLevel="1" x14ac:dyDescent="0.2">
      <c r="A253" s="224"/>
      <c r="B253" s="224"/>
      <c r="C253" s="224"/>
      <c r="D253" s="225"/>
      <c r="E253" s="226"/>
      <c r="F253" s="296"/>
      <c r="G253" s="227"/>
      <c r="J253" s="204"/>
    </row>
    <row r="254" spans="1:10" ht="12" hidden="1" outlineLevel="1" thickBot="1" x14ac:dyDescent="0.25">
      <c r="A254" s="224"/>
      <c r="B254" s="224"/>
      <c r="C254" s="224"/>
      <c r="D254" s="225"/>
      <c r="E254" s="226"/>
      <c r="F254" s="296"/>
      <c r="G254" s="227"/>
      <c r="J254" s="204"/>
    </row>
    <row r="255" spans="1:10" hidden="1" outlineLevel="1" x14ac:dyDescent="0.2">
      <c r="A255" s="224"/>
      <c r="B255" s="503" t="s">
        <v>614</v>
      </c>
      <c r="C255" s="476" t="s">
        <v>1525</v>
      </c>
      <c r="D255" s="477" t="s">
        <v>611</v>
      </c>
      <c r="E255" s="478">
        <v>2.0299999999999998</v>
      </c>
      <c r="F255" s="504">
        <v>3500</v>
      </c>
      <c r="G255" s="480">
        <f>E255*F255</f>
        <v>7104.9999999999991</v>
      </c>
      <c r="J255" s="204"/>
    </row>
    <row r="256" spans="1:10" hidden="1" outlineLevel="1" x14ac:dyDescent="0.2">
      <c r="A256" s="224"/>
      <c r="B256" s="505"/>
      <c r="C256" s="482" t="s">
        <v>634</v>
      </c>
      <c r="D256" s="483" t="s">
        <v>611</v>
      </c>
      <c r="E256" s="484">
        <v>2.42</v>
      </c>
      <c r="F256" s="485">
        <v>3500</v>
      </c>
      <c r="G256" s="486">
        <f>E256*F256</f>
        <v>8470</v>
      </c>
      <c r="J256" s="204"/>
    </row>
    <row r="257" spans="1:10" hidden="1" outlineLevel="1" x14ac:dyDescent="0.2">
      <c r="A257" s="224"/>
      <c r="B257" s="505"/>
      <c r="C257" s="482" t="s">
        <v>639</v>
      </c>
      <c r="D257" s="483" t="s">
        <v>611</v>
      </c>
      <c r="E257" s="484">
        <v>6.38</v>
      </c>
      <c r="F257" s="485">
        <v>3500</v>
      </c>
      <c r="G257" s="486">
        <f>E257*F257</f>
        <v>22330</v>
      </c>
      <c r="J257" s="204"/>
    </row>
    <row r="258" spans="1:10" hidden="1" outlineLevel="1" x14ac:dyDescent="0.2">
      <c r="A258" s="224"/>
      <c r="B258" s="505"/>
      <c r="C258" s="482"/>
      <c r="D258" s="483"/>
      <c r="E258" s="484"/>
      <c r="F258" s="485"/>
      <c r="G258" s="486"/>
      <c r="J258" s="204"/>
    </row>
    <row r="259" spans="1:10" hidden="1" outlineLevel="1" x14ac:dyDescent="0.2">
      <c r="A259" s="224"/>
      <c r="B259" s="505" t="s">
        <v>1524</v>
      </c>
      <c r="C259" s="482" t="s">
        <v>1356</v>
      </c>
      <c r="D259" s="483" t="s">
        <v>611</v>
      </c>
      <c r="E259" s="484">
        <v>7.2</v>
      </c>
      <c r="F259" s="507">
        <v>3500</v>
      </c>
      <c r="G259" s="486">
        <f>E259*F259</f>
        <v>25200</v>
      </c>
      <c r="J259" s="204"/>
    </row>
    <row r="260" spans="1:10" hidden="1" outlineLevel="1" x14ac:dyDescent="0.2">
      <c r="A260" s="224"/>
      <c r="B260" s="505"/>
      <c r="C260" s="482" t="s">
        <v>1357</v>
      </c>
      <c r="D260" s="483" t="s">
        <v>611</v>
      </c>
      <c r="E260" s="484">
        <v>11</v>
      </c>
      <c r="F260" s="485">
        <v>3500</v>
      </c>
      <c r="G260" s="486">
        <f>E260*F260</f>
        <v>38500</v>
      </c>
      <c r="J260" s="204"/>
    </row>
    <row r="261" spans="1:10" ht="12" hidden="1" outlineLevel="1" thickBot="1" x14ac:dyDescent="0.25">
      <c r="A261" s="224"/>
      <c r="B261" s="506"/>
      <c r="C261" s="489" t="s">
        <v>1479</v>
      </c>
      <c r="D261" s="490" t="s">
        <v>611</v>
      </c>
      <c r="E261" s="491">
        <v>18</v>
      </c>
      <c r="F261" s="492">
        <v>3500</v>
      </c>
      <c r="G261" s="493">
        <f>E261*F261</f>
        <v>63000</v>
      </c>
      <c r="J261" s="204"/>
    </row>
    <row r="262" spans="1:10" ht="12" hidden="1" outlineLevel="1" thickBot="1" x14ac:dyDescent="0.25">
      <c r="A262" s="224"/>
      <c r="B262" s="224"/>
      <c r="C262" s="224"/>
      <c r="D262" s="225"/>
      <c r="E262" s="226"/>
      <c r="F262" s="296"/>
      <c r="G262" s="227"/>
      <c r="J262" s="204"/>
    </row>
    <row r="263" spans="1:10" hidden="1" outlineLevel="1" x14ac:dyDescent="0.2">
      <c r="A263" s="225"/>
      <c r="B263" s="503" t="s">
        <v>614</v>
      </c>
      <c r="C263" s="476" t="s">
        <v>1526</v>
      </c>
      <c r="D263" s="477" t="s">
        <v>611</v>
      </c>
      <c r="E263" s="478">
        <v>3.84</v>
      </c>
      <c r="F263" s="504">
        <v>5000</v>
      </c>
      <c r="G263" s="480">
        <f>E263*F263</f>
        <v>19200</v>
      </c>
      <c r="J263" s="204"/>
    </row>
    <row r="264" spans="1:10" hidden="1" outlineLevel="1" x14ac:dyDescent="0.2">
      <c r="A264" s="225"/>
      <c r="B264" s="505"/>
      <c r="C264" s="482" t="s">
        <v>636</v>
      </c>
      <c r="D264" s="483" t="s">
        <v>611</v>
      </c>
      <c r="E264" s="484">
        <v>13.09</v>
      </c>
      <c r="F264" s="485">
        <v>5000</v>
      </c>
      <c r="G264" s="486">
        <f>E264*F264</f>
        <v>65450</v>
      </c>
      <c r="J264" s="204"/>
    </row>
    <row r="265" spans="1:10" hidden="1" outlineLevel="1" x14ac:dyDescent="0.2">
      <c r="A265" s="225"/>
      <c r="B265" s="505"/>
      <c r="C265" s="482" t="s">
        <v>630</v>
      </c>
      <c r="D265" s="483" t="s">
        <v>611</v>
      </c>
      <c r="E265" s="484">
        <v>18.48</v>
      </c>
      <c r="F265" s="485">
        <v>4600</v>
      </c>
      <c r="G265" s="486">
        <f>E265*F265</f>
        <v>85008</v>
      </c>
      <c r="J265" s="204"/>
    </row>
    <row r="266" spans="1:10" hidden="1" outlineLevel="1" x14ac:dyDescent="0.2">
      <c r="A266" s="225"/>
      <c r="B266" s="505"/>
      <c r="C266" s="482" t="s">
        <v>236</v>
      </c>
      <c r="D266" s="483" t="s">
        <v>611</v>
      </c>
      <c r="E266" s="484">
        <v>9.84</v>
      </c>
      <c r="F266" s="485">
        <v>4600</v>
      </c>
      <c r="G266" s="486">
        <f>E266*F266</f>
        <v>45264</v>
      </c>
      <c r="J266" s="204"/>
    </row>
    <row r="267" spans="1:10" hidden="1" outlineLevel="1" x14ac:dyDescent="0.2">
      <c r="A267" s="225"/>
      <c r="B267" s="505"/>
      <c r="C267" s="482"/>
      <c r="D267" s="483"/>
      <c r="E267" s="484"/>
      <c r="F267" s="485"/>
      <c r="G267" s="486"/>
      <c r="J267" s="204"/>
    </row>
    <row r="268" spans="1:10" ht="12" hidden="1" outlineLevel="1" thickBot="1" x14ac:dyDescent="0.25">
      <c r="A268" s="225"/>
      <c r="B268" s="506" t="s">
        <v>1524</v>
      </c>
      <c r="C268" s="489" t="s">
        <v>1478</v>
      </c>
      <c r="D268" s="490" t="s">
        <v>611</v>
      </c>
      <c r="E268" s="491">
        <v>3.36</v>
      </c>
      <c r="F268" s="492">
        <f>$F$263</f>
        <v>5000</v>
      </c>
      <c r="G268" s="493">
        <f>E268*F268</f>
        <v>16800</v>
      </c>
      <c r="J268" s="204"/>
    </row>
    <row r="269" spans="1:10" hidden="1" outlineLevel="1" x14ac:dyDescent="0.2">
      <c r="A269" s="225"/>
      <c r="B269" s="224"/>
      <c r="C269" s="224"/>
      <c r="D269" s="225"/>
      <c r="E269" s="226"/>
      <c r="F269" s="296"/>
      <c r="G269" s="227"/>
      <c r="J269" s="204"/>
    </row>
    <row r="270" spans="1:10" hidden="1" outlineLevel="1" x14ac:dyDescent="0.2">
      <c r="A270" s="225"/>
      <c r="B270" s="224"/>
      <c r="C270" s="224" t="s">
        <v>616</v>
      </c>
      <c r="D270" s="225" t="s">
        <v>618</v>
      </c>
      <c r="E270" s="226">
        <v>60</v>
      </c>
      <c r="F270" s="296">
        <v>500</v>
      </c>
      <c r="G270" s="227">
        <f>E270*F270</f>
        <v>30000</v>
      </c>
      <c r="J270" s="204"/>
    </row>
    <row r="271" spans="1:10" hidden="1" outlineLevel="1" x14ac:dyDescent="0.2">
      <c r="A271" s="225"/>
      <c r="B271" s="224"/>
      <c r="C271" s="224"/>
      <c r="D271" s="225"/>
      <c r="E271" s="226"/>
      <c r="F271" s="296"/>
      <c r="G271" s="227"/>
      <c r="J271" s="204"/>
    </row>
    <row r="272" spans="1:10" hidden="1" outlineLevel="1" x14ac:dyDescent="0.2">
      <c r="A272" s="225" t="s">
        <v>1731</v>
      </c>
      <c r="B272" s="224" t="s">
        <v>657</v>
      </c>
      <c r="C272" s="224"/>
      <c r="D272" s="225" t="s">
        <v>611</v>
      </c>
      <c r="E272" s="226">
        <v>150</v>
      </c>
      <c r="F272" s="296"/>
      <c r="G272" s="227"/>
      <c r="J272" s="204"/>
    </row>
    <row r="273" spans="1:10" hidden="1" outlineLevel="1" x14ac:dyDescent="0.2">
      <c r="A273" s="225" t="s">
        <v>1732</v>
      </c>
      <c r="B273" s="224" t="s">
        <v>658</v>
      </c>
      <c r="C273" s="224">
        <v>5800</v>
      </c>
      <c r="D273" s="225" t="s">
        <v>656</v>
      </c>
      <c r="E273" s="226">
        <v>0</v>
      </c>
      <c r="F273" s="296">
        <v>232</v>
      </c>
      <c r="G273" s="227">
        <f>E273*F273</f>
        <v>0</v>
      </c>
      <c r="J273" s="204"/>
    </row>
    <row r="274" spans="1:10" hidden="1" outlineLevel="1" x14ac:dyDescent="0.2">
      <c r="A274" s="225" t="s">
        <v>1925</v>
      </c>
      <c r="B274" s="224" t="s">
        <v>658</v>
      </c>
      <c r="C274" s="224">
        <v>4700</v>
      </c>
      <c r="D274" s="225" t="s">
        <v>656</v>
      </c>
      <c r="E274" s="226">
        <v>0</v>
      </c>
      <c r="F274" s="296">
        <v>188</v>
      </c>
      <c r="G274" s="227">
        <f>E274*F274</f>
        <v>0</v>
      </c>
      <c r="J274" s="204"/>
    </row>
    <row r="275" spans="1:10" ht="12" hidden="1" outlineLevel="1" thickBot="1" x14ac:dyDescent="0.25">
      <c r="A275" s="225" t="s">
        <v>1925</v>
      </c>
      <c r="B275" s="224" t="s">
        <v>1926</v>
      </c>
      <c r="C275" s="224">
        <v>4300</v>
      </c>
      <c r="D275" s="225" t="s">
        <v>656</v>
      </c>
      <c r="E275" s="226">
        <v>0</v>
      </c>
      <c r="F275" s="296">
        <v>172</v>
      </c>
      <c r="G275" s="227">
        <f>E275*F275</f>
        <v>0</v>
      </c>
      <c r="J275" s="204"/>
    </row>
    <row r="276" spans="1:10" ht="12" hidden="1" outlineLevel="1" thickBot="1" x14ac:dyDescent="0.25">
      <c r="A276" s="494" t="s">
        <v>847</v>
      </c>
      <c r="B276" s="495" t="s">
        <v>1926</v>
      </c>
      <c r="C276" s="495" t="s">
        <v>514</v>
      </c>
      <c r="D276" s="496" t="s">
        <v>656</v>
      </c>
      <c r="E276" s="497">
        <v>850</v>
      </c>
      <c r="F276" s="498">
        <v>145</v>
      </c>
      <c r="G276" s="499">
        <f>E276*F276</f>
        <v>123250</v>
      </c>
      <c r="J276" s="204"/>
    </row>
    <row r="277" spans="1:10" hidden="1" outlineLevel="1" x14ac:dyDescent="0.2">
      <c r="A277" s="225"/>
      <c r="B277" s="224"/>
      <c r="C277" s="224"/>
      <c r="D277" s="225"/>
      <c r="E277" s="226"/>
      <c r="F277" s="296"/>
      <c r="G277" s="227"/>
      <c r="J277" s="204"/>
    </row>
    <row r="278" spans="1:10" ht="12" hidden="1" outlineLevel="1" thickBot="1" x14ac:dyDescent="0.25">
      <c r="A278" s="225"/>
      <c r="B278" s="224" t="s">
        <v>769</v>
      </c>
      <c r="C278" s="224"/>
      <c r="D278" s="225" t="s">
        <v>611</v>
      </c>
      <c r="E278" s="226">
        <v>140</v>
      </c>
      <c r="F278" s="296"/>
      <c r="G278" s="227"/>
      <c r="J278" s="204"/>
    </row>
    <row r="279" spans="1:10" ht="12" hidden="1" outlineLevel="1" thickBot="1" x14ac:dyDescent="0.25">
      <c r="A279" s="494" t="s">
        <v>847</v>
      </c>
      <c r="B279" s="495" t="s">
        <v>659</v>
      </c>
      <c r="C279" s="495" t="s">
        <v>513</v>
      </c>
      <c r="D279" s="496" t="s">
        <v>656</v>
      </c>
      <c r="E279" s="497">
        <f>E278*0.5</f>
        <v>70</v>
      </c>
      <c r="F279" s="498">
        <v>480</v>
      </c>
      <c r="G279" s="499">
        <f>E279*F279</f>
        <v>33600</v>
      </c>
      <c r="J279" s="204"/>
    </row>
    <row r="280" spans="1:10" hidden="1" outlineLevel="1" x14ac:dyDescent="0.2">
      <c r="A280" s="225"/>
      <c r="B280" s="224"/>
      <c r="C280" s="224"/>
      <c r="D280" s="225"/>
      <c r="E280" s="226"/>
      <c r="F280" s="296"/>
      <c r="G280" s="227"/>
      <c r="J280" s="204"/>
    </row>
    <row r="281" spans="1:10" hidden="1" outlineLevel="1" x14ac:dyDescent="0.2">
      <c r="A281" s="225"/>
      <c r="B281" s="224" t="s">
        <v>795</v>
      </c>
      <c r="C281" s="224"/>
      <c r="D281" s="225" t="s">
        <v>618</v>
      </c>
      <c r="E281" s="226">
        <v>20</v>
      </c>
      <c r="F281" s="296">
        <v>200</v>
      </c>
      <c r="G281" s="227">
        <f>E281*F281</f>
        <v>4000</v>
      </c>
      <c r="J281" s="204"/>
    </row>
    <row r="282" spans="1:10" hidden="1" outlineLevel="1" x14ac:dyDescent="0.2">
      <c r="A282" s="225"/>
      <c r="B282" s="224"/>
      <c r="C282" s="224"/>
      <c r="D282" s="225"/>
      <c r="E282" s="226"/>
      <c r="F282" s="296"/>
      <c r="G282" s="227"/>
      <c r="H282" s="202" t="s">
        <v>789</v>
      </c>
      <c r="J282" s="204"/>
    </row>
    <row r="283" spans="1:10" hidden="1" outlineLevel="1" x14ac:dyDescent="0.2">
      <c r="A283" s="224" t="s">
        <v>615</v>
      </c>
      <c r="B283" s="224" t="s">
        <v>796</v>
      </c>
      <c r="C283" s="225" t="s">
        <v>861</v>
      </c>
      <c r="D283" s="225" t="s">
        <v>611</v>
      </c>
      <c r="E283" s="226">
        <v>40.799999999999997</v>
      </c>
      <c r="F283" s="296">
        <v>2500</v>
      </c>
      <c r="G283" s="227">
        <f>E283*F283</f>
        <v>102000</v>
      </c>
      <c r="J283" s="204"/>
    </row>
    <row r="284" spans="1:10" hidden="1" outlineLevel="1" x14ac:dyDescent="0.2">
      <c r="A284" s="225"/>
      <c r="B284" s="770" t="s">
        <v>13</v>
      </c>
      <c r="C284" s="224" t="s">
        <v>2403</v>
      </c>
      <c r="D284" s="225" t="s">
        <v>611</v>
      </c>
      <c r="E284" s="226">
        <v>42</v>
      </c>
      <c r="F284" s="296">
        <v>360</v>
      </c>
      <c r="G284" s="227">
        <f>E284*F284</f>
        <v>15120</v>
      </c>
      <c r="J284" s="204"/>
    </row>
    <row r="285" spans="1:10" hidden="1" outlineLevel="1" x14ac:dyDescent="0.2">
      <c r="A285" s="225"/>
      <c r="B285" s="770" t="s">
        <v>2402</v>
      </c>
      <c r="C285" s="224" t="s">
        <v>412</v>
      </c>
      <c r="D285" s="225" t="s">
        <v>611</v>
      </c>
      <c r="E285" s="226">
        <v>60</v>
      </c>
      <c r="F285" s="296">
        <v>50</v>
      </c>
      <c r="G285" s="227">
        <f>E285*F285</f>
        <v>3000</v>
      </c>
      <c r="J285" s="204"/>
    </row>
    <row r="286" spans="1:10" hidden="1" outlineLevel="1" x14ac:dyDescent="0.2">
      <c r="A286" s="225"/>
      <c r="B286" s="770" t="s">
        <v>2424</v>
      </c>
      <c r="C286" s="224" t="s">
        <v>2425</v>
      </c>
      <c r="D286" s="225" t="s">
        <v>618</v>
      </c>
      <c r="E286" s="226">
        <v>52.8</v>
      </c>
      <c r="F286" s="296">
        <v>310</v>
      </c>
      <c r="G286" s="227">
        <f>E286*F286</f>
        <v>16368</v>
      </c>
      <c r="J286" s="204"/>
    </row>
    <row r="287" spans="1:10" hidden="1" outlineLevel="1" x14ac:dyDescent="0.2">
      <c r="A287" s="225"/>
      <c r="B287" s="225"/>
      <c r="C287" s="224"/>
      <c r="D287" s="225"/>
      <c r="E287" s="226"/>
      <c r="F287" s="296"/>
      <c r="G287" s="227"/>
      <c r="J287" s="204"/>
    </row>
    <row r="288" spans="1:10" hidden="1" outlineLevel="1" x14ac:dyDescent="0.2">
      <c r="A288" s="224" t="s">
        <v>660</v>
      </c>
      <c r="B288" s="224" t="s">
        <v>767</v>
      </c>
      <c r="C288" s="224" t="s">
        <v>654</v>
      </c>
      <c r="D288" s="225" t="s">
        <v>611</v>
      </c>
      <c r="E288" s="226">
        <v>0</v>
      </c>
      <c r="F288" s="296">
        <v>5000</v>
      </c>
      <c r="G288" s="227">
        <f>E288*F288</f>
        <v>0</v>
      </c>
      <c r="J288" s="204"/>
    </row>
    <row r="289" spans="1:10" hidden="1" outlineLevel="1" x14ac:dyDescent="0.2">
      <c r="A289" s="225"/>
      <c r="B289" s="224" t="s">
        <v>1063</v>
      </c>
      <c r="C289" s="224"/>
      <c r="D289" s="225" t="s">
        <v>618</v>
      </c>
      <c r="E289" s="226">
        <v>0</v>
      </c>
      <c r="F289" s="296">
        <v>2500</v>
      </c>
      <c r="G289" s="227">
        <f>E289*F289</f>
        <v>0</v>
      </c>
      <c r="J289" s="204"/>
    </row>
    <row r="290" spans="1:10" ht="12" hidden="1" outlineLevel="1" thickBot="1" x14ac:dyDescent="0.25">
      <c r="A290" s="225"/>
      <c r="B290" s="224"/>
      <c r="C290" s="224"/>
      <c r="D290" s="225"/>
      <c r="E290" s="226"/>
      <c r="F290" s="296"/>
      <c r="G290" s="227"/>
      <c r="J290" s="204"/>
    </row>
    <row r="291" spans="1:10" hidden="1" outlineLevel="1" x14ac:dyDescent="0.2">
      <c r="A291" s="475"/>
      <c r="B291" s="476"/>
      <c r="C291" s="476"/>
      <c r="D291" s="477"/>
      <c r="E291" s="478"/>
      <c r="F291" s="479"/>
      <c r="G291" s="480"/>
      <c r="J291" s="204"/>
    </row>
    <row r="292" spans="1:10" ht="23.25" hidden="1" outlineLevel="1" thickBot="1" x14ac:dyDescent="0.25">
      <c r="A292" s="481" t="s">
        <v>1821</v>
      </c>
      <c r="B292" s="482"/>
      <c r="C292" s="482" t="s">
        <v>2165</v>
      </c>
      <c r="D292" s="483" t="s">
        <v>642</v>
      </c>
      <c r="E292" s="484">
        <v>1</v>
      </c>
      <c r="F292" s="485">
        <v>60000</v>
      </c>
      <c r="G292" s="486">
        <f>E292*F292</f>
        <v>60000</v>
      </c>
      <c r="J292" s="204"/>
    </row>
    <row r="293" spans="1:10" hidden="1" outlineLevel="1" x14ac:dyDescent="0.2">
      <c r="A293" s="481"/>
      <c r="B293" s="482" t="s">
        <v>696</v>
      </c>
      <c r="C293" s="487" t="s">
        <v>771</v>
      </c>
      <c r="D293" s="483" t="s">
        <v>642</v>
      </c>
      <c r="E293" s="484">
        <v>2</v>
      </c>
      <c r="F293" s="485">
        <v>9300</v>
      </c>
      <c r="G293" s="771">
        <f t="shared" ref="G293:G299" si="8">E293*F293</f>
        <v>18600</v>
      </c>
      <c r="J293" s="204"/>
    </row>
    <row r="294" spans="1:10" hidden="1" outlineLevel="1" x14ac:dyDescent="0.2">
      <c r="A294" s="481"/>
      <c r="B294" s="482" t="s">
        <v>697</v>
      </c>
      <c r="C294" s="487" t="s">
        <v>1476</v>
      </c>
      <c r="D294" s="483" t="s">
        <v>642</v>
      </c>
      <c r="E294" s="484">
        <v>1</v>
      </c>
      <c r="F294" s="485">
        <v>3700</v>
      </c>
      <c r="G294" s="772">
        <f t="shared" si="8"/>
        <v>3700</v>
      </c>
      <c r="J294" s="204"/>
    </row>
    <row r="295" spans="1:10" hidden="1" outlineLevel="1" x14ac:dyDescent="0.2">
      <c r="A295" s="481"/>
      <c r="B295" s="482" t="s">
        <v>697</v>
      </c>
      <c r="C295" s="487" t="s">
        <v>2162</v>
      </c>
      <c r="D295" s="483" t="s">
        <v>642</v>
      </c>
      <c r="E295" s="484">
        <v>2</v>
      </c>
      <c r="F295" s="485">
        <v>6200</v>
      </c>
      <c r="G295" s="772">
        <f t="shared" si="8"/>
        <v>12400</v>
      </c>
      <c r="J295" s="204"/>
    </row>
    <row r="296" spans="1:10" ht="12" hidden="1" outlineLevel="1" thickBot="1" x14ac:dyDescent="0.25">
      <c r="A296" s="481"/>
      <c r="B296" s="482" t="s">
        <v>697</v>
      </c>
      <c r="C296" s="487" t="s">
        <v>1477</v>
      </c>
      <c r="D296" s="483" t="s">
        <v>642</v>
      </c>
      <c r="E296" s="484">
        <v>1</v>
      </c>
      <c r="F296" s="485">
        <v>7400</v>
      </c>
      <c r="G296" s="773">
        <f>E296*F296</f>
        <v>7400</v>
      </c>
      <c r="J296" s="204"/>
    </row>
    <row r="297" spans="1:10" ht="12" hidden="1" outlineLevel="1" thickBot="1" x14ac:dyDescent="0.25">
      <c r="A297" s="481"/>
      <c r="B297" s="482" t="s">
        <v>698</v>
      </c>
      <c r="C297" s="487" t="s">
        <v>2163</v>
      </c>
      <c r="D297" s="483" t="s">
        <v>642</v>
      </c>
      <c r="E297" s="484">
        <v>2</v>
      </c>
      <c r="F297" s="485">
        <v>7200</v>
      </c>
      <c r="G297" s="773">
        <f t="shared" si="8"/>
        <v>14400</v>
      </c>
      <c r="J297" s="204"/>
    </row>
    <row r="298" spans="1:10" ht="12" hidden="1" outlineLevel="1" thickBot="1" x14ac:dyDescent="0.25">
      <c r="A298" s="481"/>
      <c r="B298" s="482"/>
      <c r="C298" s="487" t="s">
        <v>2164</v>
      </c>
      <c r="D298" s="483" t="s">
        <v>642</v>
      </c>
      <c r="E298" s="484">
        <v>2</v>
      </c>
      <c r="F298" s="485">
        <v>5000</v>
      </c>
      <c r="G298" s="486">
        <f>E298*F298</f>
        <v>10000</v>
      </c>
      <c r="J298" s="204"/>
    </row>
    <row r="299" spans="1:10" hidden="1" outlineLevel="1" x14ac:dyDescent="0.2">
      <c r="A299" s="481"/>
      <c r="B299" s="482" t="s">
        <v>930</v>
      </c>
      <c r="C299" s="482" t="s">
        <v>2154</v>
      </c>
      <c r="D299" s="483" t="s">
        <v>642</v>
      </c>
      <c r="E299" s="484">
        <v>3</v>
      </c>
      <c r="F299" s="485">
        <v>5000</v>
      </c>
      <c r="G299" s="771">
        <f t="shared" si="8"/>
        <v>15000</v>
      </c>
      <c r="J299" s="204"/>
    </row>
    <row r="300" spans="1:10" ht="12" hidden="1" outlineLevel="1" thickBot="1" x14ac:dyDescent="0.25">
      <c r="A300" s="481"/>
      <c r="B300" s="482"/>
      <c r="C300" s="482" t="s">
        <v>2377</v>
      </c>
      <c r="D300" s="483" t="s">
        <v>642</v>
      </c>
      <c r="E300" s="484">
        <v>1</v>
      </c>
      <c r="F300" s="485">
        <v>5000</v>
      </c>
      <c r="G300" s="773">
        <f>E300*F300</f>
        <v>5000</v>
      </c>
      <c r="J300" s="204"/>
    </row>
    <row r="301" spans="1:10" hidden="1" outlineLevel="1" x14ac:dyDescent="0.2">
      <c r="A301" s="481"/>
      <c r="B301" s="482"/>
      <c r="C301" s="482" t="s">
        <v>2378</v>
      </c>
      <c r="D301" s="483" t="s">
        <v>642</v>
      </c>
      <c r="E301" s="484">
        <v>1</v>
      </c>
      <c r="F301" s="485">
        <v>4000</v>
      </c>
      <c r="G301" s="486">
        <f>E301*F301</f>
        <v>4000</v>
      </c>
      <c r="J301" s="204"/>
    </row>
    <row r="302" spans="1:10" hidden="1" outlineLevel="1" x14ac:dyDescent="0.2">
      <c r="A302" s="481"/>
      <c r="B302" s="482"/>
      <c r="C302" s="482" t="s">
        <v>2395</v>
      </c>
      <c r="D302" s="483" t="s">
        <v>642</v>
      </c>
      <c r="E302" s="484">
        <v>1</v>
      </c>
      <c r="F302" s="485">
        <v>3000</v>
      </c>
      <c r="G302" s="486">
        <f>E302*F302</f>
        <v>3000</v>
      </c>
      <c r="J302" s="204"/>
    </row>
    <row r="303" spans="1:10" hidden="1" outlineLevel="1" x14ac:dyDescent="0.2">
      <c r="A303" s="481"/>
      <c r="B303" s="482"/>
      <c r="C303" s="482" t="s">
        <v>2394</v>
      </c>
      <c r="D303" s="483" t="s">
        <v>642</v>
      </c>
      <c r="E303" s="484">
        <v>1</v>
      </c>
      <c r="F303" s="485">
        <v>12500</v>
      </c>
      <c r="G303" s="486">
        <f>E303*F303</f>
        <v>12500</v>
      </c>
      <c r="J303" s="204"/>
    </row>
    <row r="304" spans="1:10" ht="12" hidden="1" outlineLevel="1" thickBot="1" x14ac:dyDescent="0.25">
      <c r="A304" s="488"/>
      <c r="B304" s="489"/>
      <c r="C304" s="489"/>
      <c r="D304" s="490"/>
      <c r="E304" s="491"/>
      <c r="F304" s="492"/>
      <c r="G304" s="493"/>
      <c r="J304" s="204"/>
    </row>
    <row r="305" spans="1:10" hidden="1" outlineLevel="1" x14ac:dyDescent="0.2">
      <c r="A305" s="225"/>
      <c r="B305" s="224"/>
      <c r="C305" s="224"/>
      <c r="D305" s="225"/>
      <c r="E305" s="226"/>
      <c r="F305" s="296"/>
      <c r="G305" s="227"/>
      <c r="J305" s="204"/>
    </row>
    <row r="306" spans="1:10" hidden="1" outlineLevel="1" x14ac:dyDescent="0.2">
      <c r="A306" s="225"/>
      <c r="B306" s="224"/>
      <c r="C306" s="224"/>
      <c r="D306" s="225"/>
      <c r="E306" s="226"/>
      <c r="F306" s="296"/>
      <c r="G306" s="227"/>
      <c r="J306" s="204"/>
    </row>
    <row r="307" spans="1:10" ht="12" thickBot="1" x14ac:dyDescent="0.25">
      <c r="A307" s="214"/>
      <c r="B307" s="237"/>
      <c r="C307" s="237"/>
      <c r="D307" s="214"/>
      <c r="E307" s="215"/>
      <c r="F307" s="302"/>
      <c r="G307" s="238"/>
      <c r="J307" s="204"/>
    </row>
    <row r="308" spans="1:10" ht="12" collapsed="1" thickBot="1" x14ac:dyDescent="0.25">
      <c r="A308" s="218" t="s">
        <v>674</v>
      </c>
      <c r="B308" s="219"/>
      <c r="C308" s="219"/>
      <c r="D308" s="220"/>
      <c r="E308" s="222"/>
      <c r="F308" s="275"/>
      <c r="G308" s="415">
        <f>SUM(G310:G321)</f>
        <v>866900</v>
      </c>
      <c r="J308" s="204"/>
    </row>
    <row r="309" spans="1:10" hidden="1" outlineLevel="1" x14ac:dyDescent="0.2">
      <c r="A309" s="225"/>
      <c r="B309" s="225"/>
      <c r="C309" s="225"/>
      <c r="D309" s="225"/>
      <c r="E309" s="225"/>
      <c r="F309" s="298"/>
      <c r="G309" s="225"/>
      <c r="J309" s="204"/>
    </row>
    <row r="310" spans="1:10" hidden="1" outlineLevel="1" x14ac:dyDescent="0.2">
      <c r="A310" s="224" t="s">
        <v>197</v>
      </c>
      <c r="B310" s="224" t="s">
        <v>1826</v>
      </c>
      <c r="C310" s="224" t="s">
        <v>699</v>
      </c>
      <c r="D310" s="225" t="s">
        <v>642</v>
      </c>
      <c r="E310" s="226">
        <v>1</v>
      </c>
      <c r="F310" s="296">
        <v>400000</v>
      </c>
      <c r="G310" s="227">
        <f>E310*F310</f>
        <v>400000</v>
      </c>
      <c r="J310" s="204"/>
    </row>
    <row r="311" spans="1:10" hidden="1" outlineLevel="1" x14ac:dyDescent="0.2">
      <c r="A311" s="225"/>
      <c r="B311" s="225" t="s">
        <v>1972</v>
      </c>
      <c r="C311" s="224"/>
      <c r="D311" s="225"/>
      <c r="E311" s="226"/>
      <c r="F311" s="296"/>
      <c r="G311" s="227"/>
      <c r="J311" s="204"/>
    </row>
    <row r="312" spans="1:10" hidden="1" outlineLevel="1" x14ac:dyDescent="0.2">
      <c r="A312" s="224"/>
      <c r="B312" s="224" t="s">
        <v>700</v>
      </c>
      <c r="C312" s="224" t="s">
        <v>21</v>
      </c>
      <c r="D312" s="225" t="s">
        <v>642</v>
      </c>
      <c r="E312" s="226">
        <v>1</v>
      </c>
      <c r="F312" s="296">
        <v>88000</v>
      </c>
      <c r="G312" s="227">
        <f>E312*F312</f>
        <v>88000</v>
      </c>
      <c r="J312" s="204"/>
    </row>
    <row r="313" spans="1:10" hidden="1" outlineLevel="1" x14ac:dyDescent="0.2">
      <c r="A313" s="593" t="s">
        <v>197</v>
      </c>
      <c r="B313" s="593" t="s">
        <v>1765</v>
      </c>
      <c r="C313" s="593" t="s">
        <v>1764</v>
      </c>
      <c r="D313" s="594"/>
      <c r="E313" s="595"/>
      <c r="F313" s="596"/>
      <c r="G313" s="592">
        <v>80000</v>
      </c>
      <c r="J313" s="204"/>
    </row>
    <row r="314" spans="1:10" hidden="1" outlineLevel="1" x14ac:dyDescent="0.2">
      <c r="A314" s="224"/>
      <c r="B314" s="224" t="s">
        <v>701</v>
      </c>
      <c r="C314" s="224" t="s">
        <v>20</v>
      </c>
      <c r="D314" s="225" t="s">
        <v>642</v>
      </c>
      <c r="E314" s="226">
        <v>1</v>
      </c>
      <c r="F314" s="296">
        <v>52000</v>
      </c>
      <c r="G314" s="227">
        <f>E314*F314</f>
        <v>52000</v>
      </c>
      <c r="J314" s="204"/>
    </row>
    <row r="315" spans="1:10" hidden="1" outlineLevel="1" x14ac:dyDescent="0.2">
      <c r="A315" s="593" t="s">
        <v>197</v>
      </c>
      <c r="B315" s="593" t="s">
        <v>1765</v>
      </c>
      <c r="C315" s="593" t="s">
        <v>1763</v>
      </c>
      <c r="D315" s="594"/>
      <c r="E315" s="595"/>
      <c r="F315" s="596"/>
      <c r="G315" s="592">
        <v>59300</v>
      </c>
      <c r="J315" s="204"/>
    </row>
    <row r="316" spans="1:10" hidden="1" outlineLevel="1" x14ac:dyDescent="0.2">
      <c r="A316" s="224"/>
      <c r="B316" s="224" t="s">
        <v>702</v>
      </c>
      <c r="C316" s="224" t="s">
        <v>179</v>
      </c>
      <c r="D316" s="225" t="s">
        <v>642</v>
      </c>
      <c r="E316" s="226">
        <v>1</v>
      </c>
      <c r="F316" s="296">
        <v>61000</v>
      </c>
      <c r="G316" s="227">
        <f>E316*F316</f>
        <v>61000</v>
      </c>
      <c r="J316" s="204"/>
    </row>
    <row r="317" spans="1:10" hidden="1" outlineLevel="1" x14ac:dyDescent="0.2">
      <c r="A317" s="593" t="s">
        <v>1818</v>
      </c>
      <c r="B317" s="593" t="s">
        <v>1765</v>
      </c>
      <c r="C317" s="593" t="s">
        <v>1950</v>
      </c>
      <c r="D317" s="594"/>
      <c r="E317" s="595"/>
      <c r="F317" s="596"/>
      <c r="G317" s="592">
        <v>65900</v>
      </c>
      <c r="J317" s="204"/>
    </row>
    <row r="318" spans="1:10" hidden="1" outlineLevel="1" x14ac:dyDescent="0.2">
      <c r="A318" s="224"/>
      <c r="B318" s="224" t="s">
        <v>703</v>
      </c>
      <c r="C318" s="224" t="s">
        <v>1819</v>
      </c>
      <c r="D318" s="225" t="s">
        <v>642</v>
      </c>
      <c r="E318" s="226">
        <v>1</v>
      </c>
      <c r="F318" s="296">
        <v>23000</v>
      </c>
      <c r="G318" s="227">
        <f>E318*F318</f>
        <v>23000</v>
      </c>
      <c r="J318" s="204"/>
    </row>
    <row r="319" spans="1:10" hidden="1" outlineLevel="1" x14ac:dyDescent="0.2">
      <c r="A319" s="593" t="s">
        <v>1818</v>
      </c>
      <c r="B319" s="593" t="s">
        <v>1765</v>
      </c>
      <c r="C319" s="593" t="s">
        <v>1951</v>
      </c>
      <c r="D319" s="594"/>
      <c r="E319" s="595"/>
      <c r="F319" s="596"/>
      <c r="G319" s="592">
        <v>24200</v>
      </c>
      <c r="J319" s="204"/>
    </row>
    <row r="320" spans="1:10" hidden="1" outlineLevel="1" x14ac:dyDescent="0.2">
      <c r="A320" s="224" t="s">
        <v>1829</v>
      </c>
      <c r="B320" s="224" t="s">
        <v>1828</v>
      </c>
      <c r="C320" s="224" t="s">
        <v>1827</v>
      </c>
      <c r="D320" s="225" t="s">
        <v>642</v>
      </c>
      <c r="E320" s="226">
        <v>1</v>
      </c>
      <c r="F320" s="296">
        <v>13500</v>
      </c>
      <c r="G320" s="227">
        <f>E320*F320</f>
        <v>13500</v>
      </c>
      <c r="J320" s="204"/>
    </row>
    <row r="321" spans="1:10" hidden="1" outlineLevel="1" x14ac:dyDescent="0.2">
      <c r="A321" s="225"/>
      <c r="B321" s="224" t="s">
        <v>1949</v>
      </c>
      <c r="C321" s="224"/>
      <c r="D321" s="225"/>
      <c r="E321" s="226"/>
      <c r="F321" s="296"/>
      <c r="G321" s="227"/>
      <c r="J321" s="204"/>
    </row>
    <row r="322" spans="1:10" ht="12" thickBot="1" x14ac:dyDescent="0.25">
      <c r="A322" s="214"/>
      <c r="B322" s="237"/>
      <c r="C322" s="237"/>
      <c r="D322" s="214"/>
      <c r="E322" s="215"/>
      <c r="F322" s="302"/>
      <c r="G322" s="238"/>
      <c r="J322" s="204"/>
    </row>
    <row r="323" spans="1:10" s="120" customFormat="1" ht="12" collapsed="1" thickBot="1" x14ac:dyDescent="0.25">
      <c r="A323" s="218" t="s">
        <v>902</v>
      </c>
      <c r="B323" s="220"/>
      <c r="C323" s="219"/>
      <c r="D323" s="273"/>
      <c r="E323" s="274"/>
      <c r="F323" s="274"/>
      <c r="G323" s="416">
        <f>SUM(G324:G328)</f>
        <v>300000</v>
      </c>
      <c r="H323" s="315"/>
    </row>
    <row r="324" spans="1:10" s="120" customFormat="1" hidden="1" outlineLevel="1" x14ac:dyDescent="0.2">
      <c r="A324" s="225"/>
      <c r="B324" s="276"/>
      <c r="C324" s="276"/>
      <c r="D324" s="277"/>
      <c r="E324" s="278"/>
      <c r="F324" s="278"/>
      <c r="G324" s="278"/>
      <c r="H324" s="315"/>
    </row>
    <row r="325" spans="1:10" s="120" customFormat="1" hidden="1" outlineLevel="1" x14ac:dyDescent="0.2">
      <c r="A325" s="225" t="s">
        <v>791</v>
      </c>
      <c r="B325" s="224" t="s">
        <v>1067</v>
      </c>
      <c r="C325" s="276" t="s">
        <v>562</v>
      </c>
      <c r="D325" s="225" t="s">
        <v>611</v>
      </c>
      <c r="E325" s="226">
        <f>IF($D$4=1,125,0)</f>
        <v>125</v>
      </c>
      <c r="F325" s="296">
        <v>800</v>
      </c>
      <c r="G325" s="227">
        <f>E325*F325</f>
        <v>100000</v>
      </c>
      <c r="H325" s="315"/>
    </row>
    <row r="326" spans="1:10" s="120" customFormat="1" hidden="1" outlineLevel="1" x14ac:dyDescent="0.2">
      <c r="A326" s="225"/>
      <c r="B326" s="224" t="s">
        <v>1081</v>
      </c>
      <c r="C326" s="224" t="s">
        <v>561</v>
      </c>
      <c r="D326" s="225" t="s">
        <v>642</v>
      </c>
      <c r="E326" s="226">
        <f>IF($D$4=1,1,0)</f>
        <v>1</v>
      </c>
      <c r="F326" s="296">
        <v>150000</v>
      </c>
      <c r="G326" s="227">
        <f>E326*F326</f>
        <v>150000</v>
      </c>
      <c r="H326" s="315"/>
    </row>
    <row r="327" spans="1:10" s="120" customFormat="1" hidden="1" outlineLevel="1" x14ac:dyDescent="0.2">
      <c r="A327" s="225"/>
      <c r="B327" s="235" t="s">
        <v>963</v>
      </c>
      <c r="C327" s="235" t="s">
        <v>563</v>
      </c>
      <c r="D327" s="269" t="s">
        <v>642</v>
      </c>
      <c r="E327" s="226">
        <f>IF($D$4=1,1,0)</f>
        <v>1</v>
      </c>
      <c r="F327" s="294">
        <v>50000</v>
      </c>
      <c r="G327" s="270">
        <f>E327*F327</f>
        <v>50000</v>
      </c>
      <c r="H327" s="315"/>
    </row>
    <row r="328" spans="1:10" s="149" customFormat="1" hidden="1" outlineLevel="1" x14ac:dyDescent="0.2">
      <c r="A328" s="279"/>
      <c r="B328" s="279"/>
      <c r="C328" s="279"/>
      <c r="D328" s="280"/>
      <c r="E328" s="281"/>
      <c r="F328" s="281"/>
      <c r="G328" s="281"/>
      <c r="H328" s="316"/>
    </row>
    <row r="329" spans="1:10" ht="12" thickBot="1" x14ac:dyDescent="0.25">
      <c r="F329" s="299"/>
      <c r="G329" s="230"/>
      <c r="H329" s="255"/>
      <c r="J329" s="204"/>
    </row>
    <row r="330" spans="1:10" ht="12" collapsed="1" thickBot="1" x14ac:dyDescent="0.25">
      <c r="A330" s="218" t="s">
        <v>709</v>
      </c>
      <c r="B330" s="219"/>
      <c r="C330" s="219"/>
      <c r="D330" s="220"/>
      <c r="E330" s="222"/>
      <c r="F330" s="275"/>
      <c r="G330" s="415">
        <f>SUM(G332:G340)</f>
        <v>72000</v>
      </c>
      <c r="J330" s="204"/>
    </row>
    <row r="331" spans="1:10" hidden="1" outlineLevel="1" x14ac:dyDescent="0.2">
      <c r="A331" s="225"/>
      <c r="B331" s="225"/>
      <c r="C331" s="225"/>
      <c r="D331" s="225"/>
      <c r="E331" s="225"/>
      <c r="F331" s="298"/>
      <c r="G331" s="225"/>
      <c r="J331" s="204"/>
    </row>
    <row r="332" spans="1:10" hidden="1" outlineLevel="1" x14ac:dyDescent="0.2">
      <c r="A332" s="225" t="s">
        <v>710</v>
      </c>
      <c r="B332" s="224" t="s">
        <v>433</v>
      </c>
      <c r="C332" s="224" t="s">
        <v>862</v>
      </c>
      <c r="D332" s="225" t="s">
        <v>611</v>
      </c>
      <c r="E332" s="226">
        <v>450</v>
      </c>
      <c r="F332" s="296">
        <v>120</v>
      </c>
      <c r="G332" s="227">
        <f>E332*F332</f>
        <v>54000</v>
      </c>
      <c r="J332" s="204"/>
    </row>
    <row r="333" spans="1:10" hidden="1" outlineLevel="1" x14ac:dyDescent="0.2">
      <c r="A333" s="225"/>
      <c r="B333" s="224" t="s">
        <v>434</v>
      </c>
      <c r="C333" s="224" t="s">
        <v>432</v>
      </c>
      <c r="D333" s="225"/>
      <c r="E333" s="226"/>
      <c r="F333" s="296"/>
      <c r="G333" s="227"/>
      <c r="J333" s="204"/>
    </row>
    <row r="334" spans="1:10" hidden="1" outlineLevel="1" x14ac:dyDescent="0.2">
      <c r="A334" s="225"/>
      <c r="B334" s="224" t="s">
        <v>436</v>
      </c>
      <c r="C334" s="224" t="s">
        <v>1105</v>
      </c>
      <c r="D334" s="225"/>
      <c r="E334" s="226"/>
      <c r="F334" s="296"/>
      <c r="G334" s="227"/>
      <c r="J334" s="204"/>
    </row>
    <row r="335" spans="1:10" hidden="1" outlineLevel="1" x14ac:dyDescent="0.2">
      <c r="A335" s="225"/>
      <c r="B335" s="224" t="s">
        <v>435</v>
      </c>
      <c r="C335" s="224"/>
      <c r="D335" s="225"/>
      <c r="E335" s="226"/>
      <c r="F335" s="296"/>
      <c r="G335" s="227"/>
      <c r="J335" s="204"/>
    </row>
    <row r="336" spans="1:10" hidden="1" outlineLevel="1" x14ac:dyDescent="0.2">
      <c r="A336" s="225"/>
      <c r="B336" s="224"/>
      <c r="C336" s="224"/>
      <c r="D336" s="225"/>
      <c r="E336" s="226"/>
      <c r="F336" s="296"/>
      <c r="G336" s="227"/>
      <c r="J336" s="204"/>
    </row>
    <row r="337" spans="1:10" hidden="1" outlineLevel="1" x14ac:dyDescent="0.2">
      <c r="A337" s="225"/>
      <c r="B337" s="224" t="s">
        <v>863</v>
      </c>
      <c r="C337" s="224" t="s">
        <v>867</v>
      </c>
      <c r="D337" s="225" t="s">
        <v>656</v>
      </c>
      <c r="E337" s="226">
        <v>150</v>
      </c>
      <c r="F337" s="296">
        <v>120</v>
      </c>
      <c r="G337" s="227">
        <f>E337*F337</f>
        <v>18000</v>
      </c>
      <c r="J337" s="204"/>
    </row>
    <row r="338" spans="1:10" hidden="1" outlineLevel="1" x14ac:dyDescent="0.2">
      <c r="A338" s="225"/>
      <c r="B338" s="224" t="s">
        <v>866</v>
      </c>
      <c r="C338" s="224" t="s">
        <v>822</v>
      </c>
      <c r="D338" s="225"/>
      <c r="E338" s="226"/>
      <c r="F338" s="296"/>
      <c r="G338" s="227"/>
      <c r="J338" s="204"/>
    </row>
    <row r="339" spans="1:10" hidden="1" outlineLevel="1" x14ac:dyDescent="0.2">
      <c r="A339" s="225"/>
      <c r="B339" s="224" t="s">
        <v>868</v>
      </c>
      <c r="C339" s="224" t="s">
        <v>823</v>
      </c>
      <c r="D339" s="225"/>
      <c r="E339" s="226"/>
      <c r="F339" s="296"/>
      <c r="G339" s="227"/>
      <c r="J339" s="204"/>
    </row>
    <row r="340" spans="1:10" hidden="1" outlineLevel="1" x14ac:dyDescent="0.2">
      <c r="A340" s="225"/>
      <c r="B340" s="224"/>
      <c r="C340" s="224"/>
      <c r="D340" s="225"/>
      <c r="E340" s="226"/>
      <c r="F340" s="296"/>
      <c r="G340" s="227"/>
      <c r="J340" s="204"/>
    </row>
    <row r="341" spans="1:10" hidden="1" outlineLevel="1" x14ac:dyDescent="0.2">
      <c r="A341" s="225"/>
      <c r="B341" s="224"/>
      <c r="C341" s="224"/>
      <c r="D341" s="225"/>
      <c r="E341" s="226"/>
      <c r="F341" s="296"/>
      <c r="G341" s="227"/>
      <c r="J341" s="204"/>
    </row>
    <row r="342" spans="1:10" s="216" customFormat="1" ht="12" thickBot="1" x14ac:dyDescent="0.25">
      <c r="A342" s="214"/>
      <c r="B342" s="237"/>
      <c r="C342" s="237"/>
      <c r="D342" s="214"/>
      <c r="E342" s="215"/>
      <c r="F342" s="302"/>
      <c r="G342" s="238"/>
      <c r="H342" s="255"/>
      <c r="I342" s="217"/>
      <c r="J342" s="255"/>
    </row>
    <row r="343" spans="1:10" ht="12" collapsed="1" thickBot="1" x14ac:dyDescent="0.25">
      <c r="A343" s="218" t="s">
        <v>1744</v>
      </c>
      <c r="B343" s="219"/>
      <c r="C343" s="219"/>
      <c r="D343" s="220"/>
      <c r="E343" s="222"/>
      <c r="F343" s="275"/>
      <c r="G343" s="415">
        <f>SUM(G345:G354)</f>
        <v>766300</v>
      </c>
      <c r="J343" s="204"/>
    </row>
    <row r="344" spans="1:10" hidden="1" outlineLevel="1" x14ac:dyDescent="0.2">
      <c r="A344" s="225"/>
      <c r="B344" s="224"/>
      <c r="C344" s="224"/>
      <c r="D344" s="225"/>
      <c r="E344" s="226"/>
      <c r="F344" s="296"/>
      <c r="G344" s="227"/>
      <c r="J344" s="204"/>
    </row>
    <row r="345" spans="1:10" hidden="1" outlineLevel="1" x14ac:dyDescent="0.2">
      <c r="A345" s="225" t="s">
        <v>681</v>
      </c>
      <c r="B345" s="224" t="s">
        <v>1677</v>
      </c>
      <c r="C345" s="224" t="s">
        <v>13</v>
      </c>
      <c r="D345" s="225" t="s">
        <v>618</v>
      </c>
      <c r="E345" s="226">
        <v>50</v>
      </c>
      <c r="F345" s="296">
        <v>431</v>
      </c>
      <c r="G345" s="229">
        <f>E345*F345</f>
        <v>21550</v>
      </c>
      <c r="H345" s="203">
        <f>G345</f>
        <v>21550</v>
      </c>
      <c r="J345" s="204"/>
    </row>
    <row r="346" spans="1:10" hidden="1" outlineLevel="1" x14ac:dyDescent="0.2">
      <c r="A346" s="225"/>
      <c r="B346" s="224"/>
      <c r="C346" s="224"/>
      <c r="D346" s="225"/>
      <c r="E346" s="226"/>
      <c r="F346" s="296"/>
      <c r="G346" s="227"/>
      <c r="J346" s="204"/>
    </row>
    <row r="347" spans="1:10" hidden="1" outlineLevel="1" x14ac:dyDescent="0.2">
      <c r="A347" s="225" t="s">
        <v>695</v>
      </c>
      <c r="B347" s="224"/>
      <c r="C347" s="224" t="s">
        <v>13</v>
      </c>
      <c r="D347" s="225" t="s">
        <v>611</v>
      </c>
      <c r="E347" s="226">
        <v>75</v>
      </c>
      <c r="F347" s="296">
        <v>130</v>
      </c>
      <c r="G347" s="229">
        <f>E347*F347</f>
        <v>9750</v>
      </c>
      <c r="H347" s="203">
        <f>G347</f>
        <v>9750</v>
      </c>
      <c r="J347" s="204"/>
    </row>
    <row r="348" spans="1:10" hidden="1" outlineLevel="1" x14ac:dyDescent="0.2">
      <c r="A348" s="225"/>
      <c r="B348" s="224"/>
      <c r="C348" s="224"/>
      <c r="D348" s="225"/>
      <c r="E348" s="226"/>
      <c r="F348" s="296"/>
      <c r="G348" s="229"/>
      <c r="H348" s="203"/>
      <c r="J348" s="204"/>
    </row>
    <row r="349" spans="1:10" hidden="1" outlineLevel="1" x14ac:dyDescent="0.2">
      <c r="A349" s="225" t="s">
        <v>1745</v>
      </c>
      <c r="B349" s="224" t="s">
        <v>1746</v>
      </c>
      <c r="C349" s="224"/>
      <c r="D349" s="225" t="s">
        <v>642</v>
      </c>
      <c r="E349" s="226">
        <v>1</v>
      </c>
      <c r="F349" s="296">
        <v>550000</v>
      </c>
      <c r="G349" s="229">
        <f>E349*F349</f>
        <v>550000</v>
      </c>
      <c r="H349" s="203"/>
      <c r="J349" s="204"/>
    </row>
    <row r="350" spans="1:10" hidden="1" outlineLevel="1" x14ac:dyDescent="0.2">
      <c r="A350" s="225"/>
      <c r="B350" s="224"/>
      <c r="C350" s="224"/>
      <c r="D350" s="225"/>
      <c r="E350" s="226"/>
      <c r="F350" s="296"/>
      <c r="G350" s="229"/>
      <c r="H350" s="203"/>
      <c r="J350" s="204"/>
    </row>
    <row r="351" spans="1:10" hidden="1" outlineLevel="1" x14ac:dyDescent="0.2">
      <c r="A351" s="225" t="s">
        <v>1747</v>
      </c>
      <c r="B351" s="224" t="s">
        <v>1748</v>
      </c>
      <c r="C351" s="224"/>
      <c r="D351" s="225" t="s">
        <v>642</v>
      </c>
      <c r="E351" s="226">
        <v>1</v>
      </c>
      <c r="F351" s="296">
        <v>185000</v>
      </c>
      <c r="G351" s="229">
        <f>E351*F351</f>
        <v>185000</v>
      </c>
      <c r="H351" s="203"/>
      <c r="J351" s="204"/>
    </row>
    <row r="352" spans="1:10" hidden="1" outlineLevel="1" x14ac:dyDescent="0.2">
      <c r="A352" s="225"/>
      <c r="B352" s="224"/>
      <c r="C352" s="224"/>
      <c r="D352" s="225"/>
      <c r="E352" s="226"/>
      <c r="F352" s="296"/>
      <c r="G352" s="229"/>
      <c r="H352" s="203"/>
      <c r="J352" s="204"/>
    </row>
    <row r="353" spans="1:10" hidden="1" outlineLevel="1" x14ac:dyDescent="0.2">
      <c r="A353" s="225"/>
      <c r="B353" s="224"/>
      <c r="C353" s="224"/>
      <c r="D353" s="225"/>
      <c r="E353" s="226"/>
      <c r="F353" s="296"/>
      <c r="G353" s="227"/>
      <c r="J353" s="204"/>
    </row>
    <row r="354" spans="1:10" hidden="1" outlineLevel="1" x14ac:dyDescent="0.2">
      <c r="A354" s="225"/>
      <c r="B354" s="224"/>
      <c r="C354" s="224"/>
      <c r="D354" s="225"/>
      <c r="E354" s="226"/>
      <c r="F354" s="296"/>
      <c r="G354" s="227"/>
      <c r="J354" s="204"/>
    </row>
    <row r="355" spans="1:10" ht="12" thickBot="1" x14ac:dyDescent="0.25">
      <c r="A355" s="214"/>
      <c r="B355" s="237"/>
      <c r="C355" s="237"/>
      <c r="D355" s="214"/>
      <c r="E355" s="215"/>
      <c r="F355" s="302"/>
      <c r="G355" s="238"/>
      <c r="J355" s="204"/>
    </row>
    <row r="356" spans="1:10" ht="12" collapsed="1" thickBot="1" x14ac:dyDescent="0.25">
      <c r="A356" s="218" t="s">
        <v>17</v>
      </c>
      <c r="B356" s="219"/>
      <c r="C356" s="219"/>
      <c r="D356" s="220"/>
      <c r="E356" s="222"/>
      <c r="F356" s="275"/>
      <c r="G356" s="223">
        <f>SUM(G358:G368)</f>
        <v>34892</v>
      </c>
      <c r="J356" s="204"/>
    </row>
    <row r="357" spans="1:10" hidden="1" outlineLevel="1" x14ac:dyDescent="0.2">
      <c r="A357" s="225"/>
      <c r="B357" s="225"/>
      <c r="C357" s="225"/>
      <c r="D357" s="225"/>
      <c r="E357" s="225"/>
      <c r="F357" s="298"/>
      <c r="G357" s="225"/>
      <c r="J357" s="204"/>
    </row>
    <row r="358" spans="1:10" s="267" customFormat="1" hidden="1" outlineLevel="1" x14ac:dyDescent="0.2">
      <c r="A358" s="264" t="s">
        <v>1461</v>
      </c>
      <c r="B358" s="265"/>
      <c r="C358" s="265"/>
      <c r="D358" s="264" t="s">
        <v>642</v>
      </c>
      <c r="E358" s="266">
        <v>34</v>
      </c>
      <c r="F358" s="297">
        <v>313</v>
      </c>
      <c r="G358" s="263">
        <f t="shared" ref="G358:G363" si="9">E358*F358</f>
        <v>10642</v>
      </c>
      <c r="H358" s="203">
        <f t="shared" ref="H358:H365" si="10">G358</f>
        <v>10642</v>
      </c>
      <c r="I358" s="262"/>
      <c r="J358" s="268"/>
    </row>
    <row r="359" spans="1:10" s="267" customFormat="1" hidden="1" outlineLevel="1" x14ac:dyDescent="0.2">
      <c r="A359" s="264" t="s">
        <v>1462</v>
      </c>
      <c r="B359" s="265"/>
      <c r="C359" s="265"/>
      <c r="D359" s="264" t="s">
        <v>642</v>
      </c>
      <c r="E359" s="266">
        <v>5</v>
      </c>
      <c r="F359" s="297">
        <v>1250</v>
      </c>
      <c r="G359" s="263">
        <f t="shared" si="9"/>
        <v>6250</v>
      </c>
      <c r="H359" s="203">
        <f t="shared" si="10"/>
        <v>6250</v>
      </c>
      <c r="I359" s="262"/>
      <c r="J359" s="268"/>
    </row>
    <row r="360" spans="1:10" s="267" customFormat="1" hidden="1" outlineLevel="1" x14ac:dyDescent="0.2">
      <c r="A360" s="264" t="s">
        <v>1463</v>
      </c>
      <c r="B360" s="265" t="s">
        <v>1644</v>
      </c>
      <c r="C360" s="265"/>
      <c r="D360" s="264" t="s">
        <v>642</v>
      </c>
      <c r="E360" s="266">
        <v>7</v>
      </c>
      <c r="F360" s="297">
        <v>400</v>
      </c>
      <c r="G360" s="263">
        <f t="shared" si="9"/>
        <v>2800</v>
      </c>
      <c r="H360" s="203">
        <f t="shared" si="10"/>
        <v>2800</v>
      </c>
      <c r="I360" s="262"/>
      <c r="J360" s="268"/>
    </row>
    <row r="361" spans="1:10" s="267" customFormat="1" hidden="1" outlineLevel="1" x14ac:dyDescent="0.2">
      <c r="A361" s="264" t="s">
        <v>1486</v>
      </c>
      <c r="B361" s="265"/>
      <c r="C361" s="265"/>
      <c r="D361" s="264" t="s">
        <v>642</v>
      </c>
      <c r="E361" s="266">
        <v>13</v>
      </c>
      <c r="F361" s="297">
        <v>400</v>
      </c>
      <c r="G361" s="263">
        <f t="shared" si="9"/>
        <v>5200</v>
      </c>
      <c r="H361" s="203">
        <f t="shared" si="10"/>
        <v>5200</v>
      </c>
      <c r="I361" s="262"/>
      <c r="J361" s="268"/>
    </row>
    <row r="362" spans="1:10" s="267" customFormat="1" hidden="1" outlineLevel="1" x14ac:dyDescent="0.2">
      <c r="A362" s="264" t="s">
        <v>1464</v>
      </c>
      <c r="B362" s="265" t="s">
        <v>1659</v>
      </c>
      <c r="C362" s="265"/>
      <c r="D362" s="264" t="s">
        <v>642</v>
      </c>
      <c r="E362" s="266">
        <v>4</v>
      </c>
      <c r="F362" s="297">
        <v>500</v>
      </c>
      <c r="G362" s="263">
        <f t="shared" si="9"/>
        <v>2000</v>
      </c>
      <c r="H362" s="203">
        <f t="shared" si="10"/>
        <v>2000</v>
      </c>
      <c r="I362" s="262"/>
      <c r="J362" s="268"/>
    </row>
    <row r="363" spans="1:10" s="267" customFormat="1" hidden="1" outlineLevel="1" x14ac:dyDescent="0.2">
      <c r="A363" s="264" t="s">
        <v>1527</v>
      </c>
      <c r="B363" s="265" t="s">
        <v>1659</v>
      </c>
      <c r="C363" s="265"/>
      <c r="D363" s="264" t="s">
        <v>642</v>
      </c>
      <c r="E363" s="266">
        <v>6</v>
      </c>
      <c r="F363" s="297">
        <v>500</v>
      </c>
      <c r="G363" s="263">
        <f t="shared" si="9"/>
        <v>3000</v>
      </c>
      <c r="H363" s="203">
        <f t="shared" si="10"/>
        <v>3000</v>
      </c>
      <c r="I363" s="262"/>
      <c r="J363" s="268"/>
    </row>
    <row r="364" spans="1:10" hidden="1" outlineLevel="1" x14ac:dyDescent="0.2">
      <c r="A364" s="225"/>
      <c r="B364" s="224"/>
      <c r="C364" s="224"/>
      <c r="D364" s="225"/>
      <c r="E364" s="226"/>
      <c r="F364" s="296"/>
      <c r="G364" s="227"/>
      <c r="H364" s="203"/>
    </row>
    <row r="365" spans="1:10" s="267" customFormat="1" hidden="1" outlineLevel="1" x14ac:dyDescent="0.2">
      <c r="A365" s="264" t="s">
        <v>1605</v>
      </c>
      <c r="B365" s="265"/>
      <c r="C365" s="265"/>
      <c r="D365" s="264" t="s">
        <v>642</v>
      </c>
      <c r="E365" s="266">
        <v>10</v>
      </c>
      <c r="F365" s="297">
        <v>500</v>
      </c>
      <c r="G365" s="263">
        <f>E365*F365</f>
        <v>5000</v>
      </c>
      <c r="H365" s="203">
        <f t="shared" si="10"/>
        <v>5000</v>
      </c>
      <c r="I365" s="262"/>
      <c r="J365" s="268"/>
    </row>
    <row r="366" spans="1:10" hidden="1" outlineLevel="1" x14ac:dyDescent="0.2">
      <c r="A366" s="225"/>
      <c r="B366" s="224"/>
      <c r="C366" s="224"/>
      <c r="D366" s="225"/>
      <c r="E366" s="226"/>
      <c r="F366" s="296"/>
      <c r="G366" s="227"/>
    </row>
    <row r="367" spans="1:10" hidden="1" outlineLevel="1" x14ac:dyDescent="0.2">
      <c r="A367" s="225"/>
      <c r="B367" s="224"/>
      <c r="C367" s="224"/>
      <c r="D367" s="225"/>
      <c r="E367" s="226"/>
      <c r="F367" s="296"/>
      <c r="G367" s="227"/>
    </row>
    <row r="368" spans="1:10" hidden="1" outlineLevel="1" x14ac:dyDescent="0.2">
      <c r="A368" s="225"/>
      <c r="B368" s="224"/>
      <c r="C368" s="224"/>
      <c r="D368" s="225"/>
      <c r="E368" s="226"/>
      <c r="F368" s="296"/>
      <c r="G368" s="227"/>
    </row>
    <row r="369" spans="1:10" s="216" customFormat="1" hidden="1" outlineLevel="1" x14ac:dyDescent="0.2">
      <c r="A369" s="214"/>
      <c r="B369" s="237"/>
      <c r="C369" s="237"/>
      <c r="D369" s="214"/>
      <c r="E369" s="215"/>
      <c r="F369" s="302"/>
      <c r="G369" s="238"/>
      <c r="H369" s="255"/>
      <c r="I369" s="217"/>
      <c r="J369" s="255"/>
    </row>
    <row r="370" spans="1:10" ht="12" thickBot="1" x14ac:dyDescent="0.25">
      <c r="F370" s="299"/>
      <c r="G370" s="230"/>
    </row>
    <row r="371" spans="1:10" ht="12" collapsed="1" thickBot="1" x14ac:dyDescent="0.25">
      <c r="A371" s="218" t="s">
        <v>1458</v>
      </c>
      <c r="B371" s="219"/>
      <c r="C371" s="219"/>
      <c r="D371" s="220"/>
      <c r="E371" s="222"/>
      <c r="F371" s="275"/>
      <c r="G371" s="223">
        <f>SUM(G373:G378)</f>
        <v>0</v>
      </c>
      <c r="J371" s="204"/>
    </row>
    <row r="372" spans="1:10" hidden="1" outlineLevel="1" x14ac:dyDescent="0.2">
      <c r="A372" s="225"/>
      <c r="B372" s="225"/>
      <c r="C372" s="225"/>
      <c r="D372" s="225"/>
      <c r="E372" s="225"/>
      <c r="F372" s="298"/>
      <c r="G372" s="225"/>
      <c r="J372" s="204"/>
    </row>
    <row r="373" spans="1:10" hidden="1" outlineLevel="1" x14ac:dyDescent="0.2">
      <c r="A373" s="225" t="s">
        <v>852</v>
      </c>
      <c r="B373" s="224"/>
      <c r="C373" s="224"/>
      <c r="D373" s="225" t="s">
        <v>623</v>
      </c>
      <c r="E373" s="226">
        <v>0</v>
      </c>
      <c r="F373" s="296">
        <v>4860</v>
      </c>
      <c r="G373" s="229">
        <f>E373*F373</f>
        <v>0</v>
      </c>
    </row>
    <row r="374" spans="1:10" hidden="1" outlineLevel="1" x14ac:dyDescent="0.2">
      <c r="A374" s="225"/>
      <c r="B374" s="224"/>
      <c r="C374" s="224"/>
      <c r="D374" s="225"/>
      <c r="E374" s="226"/>
      <c r="F374" s="296"/>
      <c r="G374" s="227"/>
    </row>
    <row r="375" spans="1:10" hidden="1" outlineLevel="1" x14ac:dyDescent="0.2">
      <c r="A375" s="225" t="s">
        <v>849</v>
      </c>
      <c r="B375" s="224"/>
      <c r="C375" s="224"/>
      <c r="D375" s="225" t="s">
        <v>853</v>
      </c>
      <c r="E375" s="226">
        <v>0</v>
      </c>
      <c r="F375" s="296">
        <v>1900</v>
      </c>
      <c r="G375" s="227">
        <f>E375*F375</f>
        <v>0</v>
      </c>
    </row>
    <row r="376" spans="1:10" hidden="1" outlineLevel="1" x14ac:dyDescent="0.2">
      <c r="A376" s="225" t="s">
        <v>1517</v>
      </c>
      <c r="B376" s="224"/>
      <c r="C376" s="224" t="s">
        <v>1457</v>
      </c>
      <c r="D376" s="225" t="s">
        <v>853</v>
      </c>
      <c r="E376" s="226">
        <v>0</v>
      </c>
      <c r="F376" s="296">
        <v>3320</v>
      </c>
      <c r="G376" s="227">
        <f>E376*F376</f>
        <v>0</v>
      </c>
    </row>
    <row r="377" spans="1:10" hidden="1" outlineLevel="1" x14ac:dyDescent="0.2">
      <c r="A377" s="225" t="s">
        <v>850</v>
      </c>
      <c r="B377" s="224"/>
      <c r="C377" s="224" t="s">
        <v>1457</v>
      </c>
      <c r="D377" s="225" t="s">
        <v>623</v>
      </c>
      <c r="E377" s="226">
        <v>0</v>
      </c>
      <c r="F377" s="296">
        <v>4000</v>
      </c>
      <c r="G377" s="227">
        <f>E377*F377</f>
        <v>0</v>
      </c>
    </row>
    <row r="378" spans="1:10" hidden="1" outlineLevel="1" x14ac:dyDescent="0.2">
      <c r="A378" s="225" t="s">
        <v>851</v>
      </c>
      <c r="B378" s="224"/>
      <c r="C378" s="224"/>
      <c r="D378" s="225" t="s">
        <v>623</v>
      </c>
      <c r="E378" s="226">
        <v>0</v>
      </c>
      <c r="F378" s="296">
        <v>4000</v>
      </c>
      <c r="G378" s="227">
        <f>E378*F378</f>
        <v>0</v>
      </c>
    </row>
    <row r="379" spans="1:10" x14ac:dyDescent="0.2">
      <c r="C379" s="201" t="s">
        <v>1517</v>
      </c>
      <c r="D379" s="225" t="s">
        <v>853</v>
      </c>
      <c r="E379" s="226">
        <v>162</v>
      </c>
      <c r="F379" s="307">
        <v>3320</v>
      </c>
      <c r="G379" s="227">
        <f>E379*F379</f>
        <v>537840</v>
      </c>
      <c r="J379" s="256"/>
    </row>
    <row r="380" spans="1:10" x14ac:dyDescent="0.2">
      <c r="F380" s="308"/>
      <c r="G380" s="230"/>
      <c r="J380" s="256"/>
    </row>
    <row r="381" spans="1:10" x14ac:dyDescent="0.2">
      <c r="C381" s="341" t="s">
        <v>1888</v>
      </c>
      <c r="D381" s="342"/>
      <c r="E381" s="343"/>
      <c r="F381" s="344"/>
      <c r="G381" s="340" t="e">
        <f>SUM(G376:G380)/E377</f>
        <v>#DIV/0!</v>
      </c>
      <c r="J381" s="256"/>
    </row>
    <row r="382" spans="1:10" x14ac:dyDescent="0.2">
      <c r="F382" s="308"/>
      <c r="G382" s="230"/>
      <c r="J382" s="256"/>
    </row>
    <row r="383" spans="1:10" x14ac:dyDescent="0.2">
      <c r="F383" s="308"/>
      <c r="G383" s="230"/>
      <c r="J383" s="256"/>
    </row>
    <row r="384" spans="1:10" x14ac:dyDescent="0.2">
      <c r="F384" s="308"/>
      <c r="G384" s="230"/>
      <c r="I384" s="257"/>
      <c r="J384" s="256"/>
    </row>
    <row r="385" spans="2:10" x14ac:dyDescent="0.2">
      <c r="B385" s="501">
        <v>39873</v>
      </c>
      <c r="C385" s="501">
        <v>40238</v>
      </c>
      <c r="F385" s="299"/>
      <c r="G385" s="230"/>
      <c r="I385" s="257"/>
      <c r="J385" s="256"/>
    </row>
    <row r="386" spans="2:10" x14ac:dyDescent="0.2">
      <c r="B386" s="201">
        <v>66</v>
      </c>
      <c r="C386" s="201">
        <v>124</v>
      </c>
      <c r="D386" s="200">
        <f>C386-B386</f>
        <v>58</v>
      </c>
      <c r="E386" s="207">
        <f>D386/12</f>
        <v>4.833333333333333</v>
      </c>
      <c r="F386" s="299"/>
      <c r="G386" s="230"/>
      <c r="I386" s="257"/>
      <c r="J386" s="256"/>
    </row>
    <row r="387" spans="2:10" x14ac:dyDescent="0.2">
      <c r="B387" s="201">
        <v>45</v>
      </c>
      <c r="C387" s="201">
        <v>80</v>
      </c>
      <c r="D387" s="200">
        <f>C387-B387</f>
        <v>35</v>
      </c>
      <c r="E387" s="207">
        <f>D387/12</f>
        <v>2.9166666666666665</v>
      </c>
      <c r="F387" s="299"/>
      <c r="G387" s="230"/>
      <c r="I387" s="257"/>
      <c r="J387" s="256"/>
    </row>
    <row r="388" spans="2:10" x14ac:dyDescent="0.2">
      <c r="F388" s="299"/>
      <c r="G388" s="230"/>
      <c r="I388" s="257"/>
      <c r="J388" s="256"/>
    </row>
    <row r="389" spans="2:10" x14ac:dyDescent="0.2">
      <c r="F389" s="299"/>
      <c r="G389" s="230"/>
      <c r="I389" s="257"/>
      <c r="J389" s="256"/>
    </row>
    <row r="390" spans="2:10" x14ac:dyDescent="0.2">
      <c r="I390" s="257"/>
    </row>
    <row r="391" spans="2:10" x14ac:dyDescent="0.2">
      <c r="I391" s="257"/>
      <c r="J391" s="258"/>
    </row>
    <row r="392" spans="2:10" x14ac:dyDescent="0.2">
      <c r="I392" s="257"/>
    </row>
    <row r="393" spans="2:10" x14ac:dyDescent="0.2">
      <c r="I393" s="257"/>
    </row>
    <row r="394" spans="2:10" x14ac:dyDescent="0.2">
      <c r="I394" s="257"/>
    </row>
    <row r="395" spans="2:10" x14ac:dyDescent="0.2">
      <c r="I395" s="257"/>
    </row>
    <row r="396" spans="2:10" x14ac:dyDescent="0.2">
      <c r="I396" s="257"/>
    </row>
    <row r="397" spans="2:10" x14ac:dyDescent="0.2">
      <c r="I397" s="257"/>
    </row>
    <row r="399" spans="2:10" x14ac:dyDescent="0.2">
      <c r="I399" s="259"/>
    </row>
    <row r="422" spans="7:7" x14ac:dyDescent="0.2">
      <c r="G422" s="597"/>
    </row>
  </sheetData>
  <mergeCells count="1">
    <mergeCell ref="K125:L125"/>
  </mergeCells>
  <phoneticPr fontId="0" type="noConversion"/>
  <hyperlinks>
    <hyperlink ref="C318" r:id="rId1" display="http://www.elektroudvar.hu/beepitheto-haztartasi-gep/paraelszivo/teleszkopos/teka-tl1-62x-paraelszivo.html" xr:uid="{00000000-0004-0000-0000-000000000000}"/>
    <hyperlink ref="A192" r:id="rId2" xr:uid="{00000000-0004-0000-0000-000001000000}"/>
    <hyperlink ref="B227" r:id="rId3" xr:uid="{00000000-0004-0000-0000-000002000000}"/>
  </hyperlinks>
  <pageMargins left="0.75" right="0.75" top="1" bottom="1" header="0.5" footer="0.5"/>
  <pageSetup paperSize="9" orientation="portrait" horizontalDpi="300" r:id="rId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Munka22"/>
  <dimension ref="A1:I93"/>
  <sheetViews>
    <sheetView topLeftCell="A28" workbookViewId="0">
      <selection activeCell="D40" sqref="D40"/>
    </sheetView>
  </sheetViews>
  <sheetFormatPr defaultRowHeight="12.75" x14ac:dyDescent="0.2"/>
  <cols>
    <col min="1" max="1" width="11.85546875" customWidth="1"/>
    <col min="2" max="2" width="12.7109375" customWidth="1"/>
    <col min="3" max="3" width="25" bestFit="1" customWidth="1"/>
    <col min="4" max="4" width="23" style="1" customWidth="1"/>
    <col min="5" max="5" width="20.5703125" style="824" customWidth="1"/>
    <col min="6" max="6" width="22.140625" style="825" customWidth="1"/>
    <col min="7" max="7" width="22.85546875" style="826" customWidth="1"/>
    <col min="8" max="8" width="20.7109375" style="827" customWidth="1"/>
    <col min="9" max="9" width="12.42578125" style="1" customWidth="1"/>
  </cols>
  <sheetData>
    <row r="1" spans="1:9" x14ac:dyDescent="0.2">
      <c r="C1" t="s">
        <v>2599</v>
      </c>
      <c r="D1" s="1" t="s">
        <v>2621</v>
      </c>
      <c r="E1" s="824" t="s">
        <v>2625</v>
      </c>
      <c r="F1" s="825" t="s">
        <v>2624</v>
      </c>
      <c r="G1" s="826" t="s">
        <v>2626</v>
      </c>
      <c r="H1" s="827" t="s">
        <v>2627</v>
      </c>
      <c r="I1" s="1" t="s">
        <v>2629</v>
      </c>
    </row>
    <row r="2" spans="1:9" x14ac:dyDescent="0.2">
      <c r="I2" s="828">
        <v>50</v>
      </c>
    </row>
    <row r="3" spans="1:9" x14ac:dyDescent="0.2">
      <c r="A3" s="691" t="s">
        <v>2632</v>
      </c>
      <c r="C3" t="s">
        <v>2595</v>
      </c>
      <c r="D3" s="1">
        <v>22</v>
      </c>
      <c r="E3" s="824">
        <v>3</v>
      </c>
      <c r="F3" s="825">
        <v>30</v>
      </c>
      <c r="G3" s="826">
        <f t="shared" ref="G3:G57" si="0">E3*F3</f>
        <v>90</v>
      </c>
      <c r="H3" s="827">
        <f t="shared" ref="H3:H57" si="1">D3*G3</f>
        <v>1980</v>
      </c>
      <c r="I3" s="829">
        <f>H3*$I$2/1000</f>
        <v>99</v>
      </c>
    </row>
    <row r="4" spans="1:9" x14ac:dyDescent="0.2">
      <c r="C4" t="s">
        <v>2696</v>
      </c>
      <c r="D4" s="1">
        <v>11</v>
      </c>
      <c r="E4" s="824">
        <v>3</v>
      </c>
      <c r="F4" s="825">
        <v>30</v>
      </c>
      <c r="G4" s="826">
        <f t="shared" si="0"/>
        <v>90</v>
      </c>
      <c r="H4" s="827">
        <f t="shared" si="1"/>
        <v>990</v>
      </c>
      <c r="I4" s="829">
        <f t="shared" ref="I4:I57" si="2">H4*$I$2/1000</f>
        <v>49.5</v>
      </c>
    </row>
    <row r="5" spans="1:9" x14ac:dyDescent="0.2">
      <c r="C5" t="s">
        <v>2695</v>
      </c>
      <c r="D5" s="1">
        <v>15</v>
      </c>
      <c r="E5" s="824">
        <v>3</v>
      </c>
      <c r="F5" s="825">
        <v>30</v>
      </c>
      <c r="G5" s="826">
        <f>E5*F5</f>
        <v>90</v>
      </c>
      <c r="H5" s="827">
        <f>D5*G5</f>
        <v>1350</v>
      </c>
      <c r="I5" s="829">
        <f>H5*$I$2/1000</f>
        <v>67.5</v>
      </c>
    </row>
    <row r="6" spans="1:9" x14ac:dyDescent="0.2">
      <c r="C6" t="s">
        <v>2596</v>
      </c>
      <c r="D6" s="1">
        <v>11</v>
      </c>
      <c r="E6" s="824">
        <v>0.5</v>
      </c>
      <c r="F6" s="825">
        <v>30</v>
      </c>
      <c r="G6" s="826">
        <f t="shared" si="0"/>
        <v>15</v>
      </c>
      <c r="H6" s="827">
        <f t="shared" si="1"/>
        <v>165</v>
      </c>
      <c r="I6" s="829">
        <f t="shared" si="2"/>
        <v>8.25</v>
      </c>
    </row>
    <row r="7" spans="1:9" x14ac:dyDescent="0.2">
      <c r="C7" t="s">
        <v>2597</v>
      </c>
      <c r="D7" s="1">
        <v>11</v>
      </c>
      <c r="E7" s="824">
        <v>0.5</v>
      </c>
      <c r="F7" s="825">
        <v>30</v>
      </c>
      <c r="G7" s="826">
        <f t="shared" si="0"/>
        <v>15</v>
      </c>
      <c r="H7" s="827">
        <f t="shared" si="1"/>
        <v>165</v>
      </c>
      <c r="I7" s="829">
        <f t="shared" si="2"/>
        <v>8.25</v>
      </c>
    </row>
    <row r="8" spans="1:9" x14ac:dyDescent="0.2">
      <c r="C8" t="s">
        <v>2598</v>
      </c>
      <c r="D8" s="1">
        <v>22</v>
      </c>
      <c r="E8" s="824">
        <v>2</v>
      </c>
      <c r="F8" s="825">
        <v>30</v>
      </c>
      <c r="G8" s="826">
        <f t="shared" si="0"/>
        <v>60</v>
      </c>
      <c r="H8" s="827">
        <f t="shared" si="1"/>
        <v>1320</v>
      </c>
      <c r="I8" s="829">
        <f t="shared" si="2"/>
        <v>66</v>
      </c>
    </row>
    <row r="9" spans="1:9" x14ac:dyDescent="0.2">
      <c r="C9" t="s">
        <v>2600</v>
      </c>
      <c r="D9" s="1">
        <v>14</v>
      </c>
      <c r="E9" s="824">
        <v>0.5</v>
      </c>
      <c r="F9" s="825">
        <v>30</v>
      </c>
      <c r="G9" s="826">
        <f t="shared" si="0"/>
        <v>15</v>
      </c>
      <c r="H9" s="827">
        <f t="shared" si="1"/>
        <v>210</v>
      </c>
      <c r="I9" s="829">
        <f t="shared" si="2"/>
        <v>10.5</v>
      </c>
    </row>
    <row r="10" spans="1:9" x14ac:dyDescent="0.2">
      <c r="C10" t="s">
        <v>2601</v>
      </c>
      <c r="D10" s="1">
        <v>14</v>
      </c>
      <c r="E10" s="824">
        <v>0.5</v>
      </c>
      <c r="F10" s="825">
        <v>30</v>
      </c>
      <c r="G10" s="826">
        <f t="shared" si="0"/>
        <v>15</v>
      </c>
      <c r="H10" s="827">
        <f t="shared" si="1"/>
        <v>210</v>
      </c>
      <c r="I10" s="829">
        <f t="shared" si="2"/>
        <v>10.5</v>
      </c>
    </row>
    <row r="11" spans="1:9" x14ac:dyDescent="0.2">
      <c r="C11" t="s">
        <v>2602</v>
      </c>
      <c r="D11" s="1">
        <v>11</v>
      </c>
      <c r="E11" s="824">
        <v>0.2</v>
      </c>
      <c r="F11" s="825">
        <v>30</v>
      </c>
      <c r="G11" s="826">
        <f t="shared" si="0"/>
        <v>6</v>
      </c>
      <c r="H11" s="827">
        <f t="shared" si="1"/>
        <v>66</v>
      </c>
      <c r="I11" s="829">
        <f t="shared" si="2"/>
        <v>3.3</v>
      </c>
    </row>
    <row r="12" spans="1:9" x14ac:dyDescent="0.2">
      <c r="C12" t="s">
        <v>2612</v>
      </c>
      <c r="D12" s="1">
        <v>11</v>
      </c>
      <c r="E12" s="824">
        <v>1</v>
      </c>
      <c r="F12" s="825">
        <v>30</v>
      </c>
      <c r="G12" s="826">
        <f t="shared" si="0"/>
        <v>30</v>
      </c>
      <c r="H12" s="827">
        <f t="shared" si="1"/>
        <v>330</v>
      </c>
      <c r="I12" s="829">
        <f t="shared" si="2"/>
        <v>16.5</v>
      </c>
    </row>
    <row r="13" spans="1:9" x14ac:dyDescent="0.2">
      <c r="C13" t="s">
        <v>2692</v>
      </c>
      <c r="D13" s="1">
        <v>40</v>
      </c>
      <c r="E13" s="824">
        <v>1</v>
      </c>
      <c r="F13" s="825">
        <v>30</v>
      </c>
      <c r="G13" s="826">
        <f>E13*F13</f>
        <v>30</v>
      </c>
      <c r="H13" s="827">
        <f>D13*G13</f>
        <v>1200</v>
      </c>
      <c r="I13" s="829">
        <f>H13*$I$2/1000</f>
        <v>60</v>
      </c>
    </row>
    <row r="14" spans="1:9" x14ac:dyDescent="0.2">
      <c r="C14" t="s">
        <v>2693</v>
      </c>
      <c r="D14" s="1">
        <v>40</v>
      </c>
      <c r="E14" s="824">
        <v>0.5</v>
      </c>
      <c r="F14" s="825">
        <v>30</v>
      </c>
      <c r="G14" s="826">
        <f>E14*F14</f>
        <v>15</v>
      </c>
      <c r="H14" s="827">
        <f>D14*G14</f>
        <v>600</v>
      </c>
      <c r="I14" s="829">
        <f>H14*$I$2/1000</f>
        <v>30</v>
      </c>
    </row>
    <row r="15" spans="1:9" x14ac:dyDescent="0.2">
      <c r="C15" t="s">
        <v>2667</v>
      </c>
      <c r="D15" s="1">
        <v>21</v>
      </c>
      <c r="E15" s="824">
        <v>0.5</v>
      </c>
      <c r="F15" s="825">
        <v>30</v>
      </c>
      <c r="G15" s="826">
        <f t="shared" si="0"/>
        <v>15</v>
      </c>
      <c r="H15" s="827">
        <f t="shared" si="1"/>
        <v>315</v>
      </c>
      <c r="I15" s="829">
        <f t="shared" si="2"/>
        <v>15.75</v>
      </c>
    </row>
    <row r="16" spans="1:9" x14ac:dyDescent="0.2">
      <c r="C16" t="s">
        <v>2768</v>
      </c>
      <c r="D16" s="1">
        <v>80</v>
      </c>
      <c r="E16" s="824">
        <v>0.5</v>
      </c>
      <c r="F16" s="825">
        <v>30</v>
      </c>
      <c r="G16" s="826">
        <f>E16*F16</f>
        <v>15</v>
      </c>
      <c r="H16" s="827">
        <f>D16*G16</f>
        <v>1200</v>
      </c>
      <c r="I16" s="829">
        <f>H16*$I$2/1000</f>
        <v>60</v>
      </c>
    </row>
    <row r="17" spans="1:9" x14ac:dyDescent="0.2">
      <c r="C17" t="s">
        <v>2668</v>
      </c>
      <c r="D17" s="1">
        <v>8</v>
      </c>
      <c r="E17" s="824">
        <v>2</v>
      </c>
      <c r="F17" s="825">
        <v>30</v>
      </c>
      <c r="G17" s="826">
        <f>E17*F17</f>
        <v>60</v>
      </c>
      <c r="H17" s="827">
        <f>D17*G17</f>
        <v>480</v>
      </c>
      <c r="I17" s="829">
        <f>H17*$I$2/1000</f>
        <v>24</v>
      </c>
    </row>
    <row r="18" spans="1:9" x14ac:dyDescent="0.2">
      <c r="C18" t="s">
        <v>2608</v>
      </c>
      <c r="D18" s="1">
        <v>63</v>
      </c>
      <c r="E18" s="824">
        <v>1</v>
      </c>
      <c r="F18" s="825">
        <v>30</v>
      </c>
      <c r="G18" s="826">
        <f t="shared" si="0"/>
        <v>30</v>
      </c>
      <c r="H18" s="827">
        <f t="shared" si="1"/>
        <v>1890</v>
      </c>
      <c r="I18" s="829">
        <f t="shared" si="2"/>
        <v>94.5</v>
      </c>
    </row>
    <row r="19" spans="1:9" x14ac:dyDescent="0.2">
      <c r="C19" t="s">
        <v>2609</v>
      </c>
      <c r="D19" s="1">
        <v>35</v>
      </c>
      <c r="E19" s="824">
        <v>0.5</v>
      </c>
      <c r="F19" s="825">
        <v>30</v>
      </c>
      <c r="G19" s="826">
        <f t="shared" si="0"/>
        <v>15</v>
      </c>
      <c r="H19" s="827">
        <f t="shared" si="1"/>
        <v>525</v>
      </c>
      <c r="I19" s="829">
        <f t="shared" si="2"/>
        <v>26.25</v>
      </c>
    </row>
    <row r="20" spans="1:9" x14ac:dyDescent="0.2">
      <c r="C20" t="s">
        <v>2610</v>
      </c>
      <c r="D20" s="1">
        <v>21</v>
      </c>
      <c r="E20" s="824">
        <v>0.5</v>
      </c>
      <c r="F20" s="825">
        <v>30</v>
      </c>
      <c r="G20" s="826">
        <f t="shared" si="0"/>
        <v>15</v>
      </c>
      <c r="H20" s="827">
        <f t="shared" si="1"/>
        <v>315</v>
      </c>
      <c r="I20" s="829">
        <f t="shared" si="2"/>
        <v>15.75</v>
      </c>
    </row>
    <row r="21" spans="1:9" x14ac:dyDescent="0.2">
      <c r="C21" t="s">
        <v>2611</v>
      </c>
      <c r="D21" s="1">
        <v>35</v>
      </c>
      <c r="E21" s="824">
        <v>0.5</v>
      </c>
      <c r="F21" s="825">
        <v>30</v>
      </c>
      <c r="G21" s="826">
        <f t="shared" si="0"/>
        <v>15</v>
      </c>
      <c r="H21" s="827">
        <f t="shared" si="1"/>
        <v>525</v>
      </c>
      <c r="I21" s="829">
        <f t="shared" si="2"/>
        <v>26.25</v>
      </c>
    </row>
    <row r="22" spans="1:9" x14ac:dyDescent="0.2">
      <c r="C22" t="s">
        <v>2606</v>
      </c>
      <c r="D22" s="1">
        <v>11</v>
      </c>
      <c r="E22" s="824">
        <v>1</v>
      </c>
      <c r="F22" s="825">
        <v>30</v>
      </c>
      <c r="G22" s="826">
        <f t="shared" si="0"/>
        <v>30</v>
      </c>
      <c r="H22" s="827">
        <f t="shared" si="1"/>
        <v>330</v>
      </c>
      <c r="I22" s="829">
        <f t="shared" si="2"/>
        <v>16.5</v>
      </c>
    </row>
    <row r="23" spans="1:9" x14ac:dyDescent="0.2">
      <c r="C23" t="s">
        <v>2603</v>
      </c>
      <c r="D23" s="1">
        <v>60</v>
      </c>
      <c r="E23" s="824">
        <v>0.5</v>
      </c>
      <c r="F23" s="825">
        <v>30</v>
      </c>
      <c r="G23" s="826">
        <f t="shared" si="0"/>
        <v>15</v>
      </c>
      <c r="H23" s="827">
        <f t="shared" si="1"/>
        <v>900</v>
      </c>
      <c r="I23" s="829">
        <f t="shared" si="2"/>
        <v>45</v>
      </c>
    </row>
    <row r="24" spans="1:9" x14ac:dyDescent="0.2">
      <c r="C24" t="s">
        <v>931</v>
      </c>
      <c r="D24" s="1">
        <v>60</v>
      </c>
      <c r="E24" s="824">
        <v>1</v>
      </c>
      <c r="F24" s="825">
        <v>30</v>
      </c>
      <c r="G24" s="826">
        <f t="shared" si="0"/>
        <v>30</v>
      </c>
      <c r="H24" s="827">
        <f t="shared" si="1"/>
        <v>1800</v>
      </c>
      <c r="I24" s="829">
        <f t="shared" si="2"/>
        <v>90</v>
      </c>
    </row>
    <row r="25" spans="1:9" x14ac:dyDescent="0.2">
      <c r="C25" t="s">
        <v>673</v>
      </c>
      <c r="D25" s="1">
        <v>11</v>
      </c>
      <c r="E25" s="824">
        <v>0.5</v>
      </c>
      <c r="F25" s="825">
        <v>30</v>
      </c>
      <c r="G25" s="826">
        <f t="shared" si="0"/>
        <v>15</v>
      </c>
      <c r="H25" s="827">
        <f t="shared" si="1"/>
        <v>165</v>
      </c>
      <c r="I25" s="829">
        <f t="shared" si="2"/>
        <v>8.25</v>
      </c>
    </row>
    <row r="26" spans="1:9" x14ac:dyDescent="0.2">
      <c r="C26" t="s">
        <v>2604</v>
      </c>
      <c r="D26" s="1">
        <v>100</v>
      </c>
      <c r="E26" s="824">
        <v>0.2</v>
      </c>
      <c r="F26" s="825">
        <v>30</v>
      </c>
      <c r="G26" s="826">
        <f t="shared" si="0"/>
        <v>6</v>
      </c>
      <c r="H26" s="827">
        <f t="shared" si="1"/>
        <v>600</v>
      </c>
      <c r="I26" s="830">
        <f t="shared" si="2"/>
        <v>30</v>
      </c>
    </row>
    <row r="27" spans="1:9" x14ac:dyDescent="0.2">
      <c r="C27" t="s">
        <v>2604</v>
      </c>
      <c r="D27" s="1">
        <v>60</v>
      </c>
      <c r="E27" s="824">
        <v>0.2</v>
      </c>
      <c r="F27" s="825">
        <v>30</v>
      </c>
      <c r="G27" s="826">
        <f t="shared" si="0"/>
        <v>6</v>
      </c>
      <c r="H27" s="827">
        <f t="shared" si="1"/>
        <v>360</v>
      </c>
      <c r="I27" s="829">
        <f t="shared" si="2"/>
        <v>18</v>
      </c>
    </row>
    <row r="28" spans="1:9" s="339" customFormat="1" x14ac:dyDescent="0.2">
      <c r="C28" s="339" t="s">
        <v>2605</v>
      </c>
      <c r="D28" s="395">
        <v>240</v>
      </c>
      <c r="E28" s="831">
        <v>0.1</v>
      </c>
      <c r="F28" s="832">
        <v>30</v>
      </c>
      <c r="G28" s="833">
        <f t="shared" si="0"/>
        <v>3</v>
      </c>
      <c r="H28" s="834">
        <f t="shared" si="1"/>
        <v>720</v>
      </c>
      <c r="I28" s="830">
        <f t="shared" si="2"/>
        <v>36</v>
      </c>
    </row>
    <row r="29" spans="1:9" s="339" customFormat="1" ht="13.5" thickBot="1" x14ac:dyDescent="0.25">
      <c r="C29" s="339" t="s">
        <v>2631</v>
      </c>
      <c r="D29" s="395">
        <v>120</v>
      </c>
      <c r="E29" s="831">
        <v>1</v>
      </c>
      <c r="F29" s="832">
        <v>10</v>
      </c>
      <c r="G29" s="833">
        <f t="shared" si="0"/>
        <v>10</v>
      </c>
      <c r="H29" s="834">
        <f t="shared" si="1"/>
        <v>1200</v>
      </c>
      <c r="I29" s="830">
        <f t="shared" si="2"/>
        <v>60</v>
      </c>
    </row>
    <row r="30" spans="1:9" s="339" customFormat="1" ht="13.5" thickBot="1" x14ac:dyDescent="0.25">
      <c r="D30" s="395"/>
      <c r="E30" s="831"/>
      <c r="F30" s="832"/>
      <c r="G30" s="841" t="s">
        <v>2636</v>
      </c>
      <c r="H30" s="842">
        <f>SUM(H3:H29)</f>
        <v>19911</v>
      </c>
      <c r="I30" s="843">
        <f>SUM(I2:I29)</f>
        <v>1045.55</v>
      </c>
    </row>
    <row r="31" spans="1:9" s="339" customFormat="1" x14ac:dyDescent="0.2">
      <c r="D31" s="395"/>
      <c r="E31" s="831"/>
      <c r="F31" s="832"/>
      <c r="G31" s="833"/>
      <c r="H31" s="834"/>
      <c r="I31" s="830"/>
    </row>
    <row r="32" spans="1:9" x14ac:dyDescent="0.2">
      <c r="A32" s="915" t="s">
        <v>2607</v>
      </c>
    </row>
    <row r="33" spans="1:9" s="908" customFormat="1" x14ac:dyDescent="0.2">
      <c r="A33" s="603"/>
      <c r="B33" s="908" t="s">
        <v>2612</v>
      </c>
      <c r="C33" s="908" t="s">
        <v>2615</v>
      </c>
      <c r="D33" s="909">
        <v>800</v>
      </c>
      <c r="E33" s="910">
        <v>0</v>
      </c>
      <c r="F33" s="911">
        <v>30</v>
      </c>
      <c r="G33" s="912">
        <f>E33*F33</f>
        <v>0</v>
      </c>
      <c r="H33" s="913">
        <f>D33*G33</f>
        <v>0</v>
      </c>
      <c r="I33" s="914">
        <f t="shared" ref="I33:I41" si="3">H33*$I$2/1000</f>
        <v>0</v>
      </c>
    </row>
    <row r="34" spans="1:9" s="908" customFormat="1" x14ac:dyDescent="0.2">
      <c r="B34" s="908" t="s">
        <v>673</v>
      </c>
      <c r="C34" s="908" t="s">
        <v>2634</v>
      </c>
      <c r="D34" s="909">
        <v>350</v>
      </c>
      <c r="E34" s="910">
        <v>0.1</v>
      </c>
      <c r="F34" s="911">
        <v>30</v>
      </c>
      <c r="G34" s="912">
        <f t="shared" si="0"/>
        <v>3</v>
      </c>
      <c r="H34" s="913">
        <f t="shared" si="1"/>
        <v>1050</v>
      </c>
      <c r="I34" s="914">
        <f t="shared" si="3"/>
        <v>52.5</v>
      </c>
    </row>
    <row r="35" spans="1:9" s="908" customFormat="1" x14ac:dyDescent="0.2">
      <c r="C35" s="908" t="s">
        <v>2635</v>
      </c>
      <c r="D35" s="909">
        <v>80</v>
      </c>
      <c r="E35" s="910">
        <v>6</v>
      </c>
      <c r="F35" s="911">
        <v>30</v>
      </c>
      <c r="G35" s="912">
        <f>E35*F35</f>
        <v>180</v>
      </c>
      <c r="H35" s="913">
        <f>D35*G35</f>
        <v>14400</v>
      </c>
      <c r="I35" s="914">
        <f t="shared" si="3"/>
        <v>720</v>
      </c>
    </row>
    <row r="36" spans="1:9" s="908" customFormat="1" x14ac:dyDescent="0.2">
      <c r="C36" s="908" t="s">
        <v>2619</v>
      </c>
      <c r="D36" s="909">
        <v>40</v>
      </c>
      <c r="E36" s="910">
        <v>6</v>
      </c>
      <c r="F36" s="911">
        <v>30</v>
      </c>
      <c r="G36" s="912">
        <f t="shared" si="0"/>
        <v>180</v>
      </c>
      <c r="H36" s="913">
        <f t="shared" si="1"/>
        <v>7200</v>
      </c>
      <c r="I36" s="914">
        <f t="shared" si="3"/>
        <v>360</v>
      </c>
    </row>
    <row r="37" spans="1:9" s="908" customFormat="1" x14ac:dyDescent="0.2">
      <c r="C37" s="908" t="s">
        <v>2620</v>
      </c>
      <c r="D37" s="909">
        <v>40</v>
      </c>
      <c r="E37" s="910">
        <v>6</v>
      </c>
      <c r="F37" s="911">
        <v>30</v>
      </c>
      <c r="G37" s="912">
        <f t="shared" si="0"/>
        <v>180</v>
      </c>
      <c r="H37" s="913">
        <f t="shared" si="1"/>
        <v>7200</v>
      </c>
      <c r="I37" s="914">
        <f t="shared" si="3"/>
        <v>360</v>
      </c>
    </row>
    <row r="38" spans="1:9" s="908" customFormat="1" x14ac:dyDescent="0.2">
      <c r="C38" s="908" t="s">
        <v>2628</v>
      </c>
      <c r="D38" s="909">
        <v>3</v>
      </c>
      <c r="E38" s="910">
        <v>24</v>
      </c>
      <c r="F38" s="911">
        <v>30</v>
      </c>
      <c r="G38" s="912">
        <f t="shared" si="0"/>
        <v>720</v>
      </c>
      <c r="H38" s="913">
        <f t="shared" si="1"/>
        <v>2160</v>
      </c>
      <c r="I38" s="914">
        <f t="shared" si="3"/>
        <v>108</v>
      </c>
    </row>
    <row r="39" spans="1:9" s="588" customFormat="1" x14ac:dyDescent="0.2">
      <c r="B39" s="588" t="s">
        <v>1744</v>
      </c>
      <c r="C39" s="588" t="s">
        <v>2873</v>
      </c>
      <c r="D39" s="835">
        <v>45</v>
      </c>
      <c r="E39" s="836">
        <v>16</v>
      </c>
      <c r="F39" s="837">
        <v>30</v>
      </c>
      <c r="G39" s="838">
        <f>E39*F39</f>
        <v>480</v>
      </c>
      <c r="H39" s="839">
        <f>D39*G39</f>
        <v>21600</v>
      </c>
      <c r="I39" s="840">
        <f t="shared" si="3"/>
        <v>1080</v>
      </c>
    </row>
    <row r="40" spans="1:9" s="588" customFormat="1" x14ac:dyDescent="0.2">
      <c r="C40" s="588" t="s">
        <v>2665</v>
      </c>
      <c r="D40" s="835">
        <v>21</v>
      </c>
      <c r="E40" s="836">
        <v>23</v>
      </c>
      <c r="F40" s="837">
        <v>30</v>
      </c>
      <c r="G40" s="838">
        <f>E40*F40</f>
        <v>690</v>
      </c>
      <c r="H40" s="839">
        <f>D40*G40</f>
        <v>14490</v>
      </c>
      <c r="I40" s="840">
        <f t="shared" si="3"/>
        <v>724.5</v>
      </c>
    </row>
    <row r="41" spans="1:9" s="588" customFormat="1" x14ac:dyDescent="0.2">
      <c r="C41" s="588" t="s">
        <v>2666</v>
      </c>
      <c r="D41" s="835">
        <v>100</v>
      </c>
      <c r="E41" s="836">
        <v>1</v>
      </c>
      <c r="F41" s="837">
        <v>30</v>
      </c>
      <c r="G41" s="838">
        <f>E41*F41</f>
        <v>30</v>
      </c>
      <c r="H41" s="839">
        <f>D41*G41</f>
        <v>3000</v>
      </c>
      <c r="I41" s="840">
        <f t="shared" si="3"/>
        <v>150</v>
      </c>
    </row>
    <row r="42" spans="1:9" s="588" customFormat="1" x14ac:dyDescent="0.2">
      <c r="B42" s="588" t="s">
        <v>674</v>
      </c>
      <c r="C42" s="588" t="s">
        <v>702</v>
      </c>
      <c r="D42" s="835">
        <v>1000</v>
      </c>
      <c r="E42" s="836">
        <v>1</v>
      </c>
      <c r="F42" s="837">
        <v>10</v>
      </c>
      <c r="G42" s="838">
        <f t="shared" si="0"/>
        <v>10</v>
      </c>
      <c r="H42" s="839">
        <f t="shared" si="1"/>
        <v>10000</v>
      </c>
      <c r="I42" s="840">
        <f t="shared" si="2"/>
        <v>500</v>
      </c>
    </row>
    <row r="43" spans="1:9" s="588" customFormat="1" x14ac:dyDescent="0.2">
      <c r="C43" s="588" t="s">
        <v>701</v>
      </c>
      <c r="D43" s="835">
        <v>1000</v>
      </c>
      <c r="E43" s="836">
        <v>1</v>
      </c>
      <c r="F43" s="837">
        <v>30</v>
      </c>
      <c r="G43" s="838">
        <f t="shared" si="0"/>
        <v>30</v>
      </c>
      <c r="H43" s="839">
        <f t="shared" si="1"/>
        <v>30000</v>
      </c>
      <c r="I43" s="840">
        <f t="shared" si="2"/>
        <v>1500</v>
      </c>
    </row>
    <row r="44" spans="1:9" s="588" customFormat="1" x14ac:dyDescent="0.2">
      <c r="C44" s="588" t="s">
        <v>700</v>
      </c>
      <c r="D44" s="835">
        <v>500</v>
      </c>
      <c r="E44" s="836">
        <v>1</v>
      </c>
      <c r="F44" s="837">
        <v>15</v>
      </c>
      <c r="G44" s="838">
        <f t="shared" si="0"/>
        <v>15</v>
      </c>
      <c r="H44" s="839">
        <f t="shared" si="1"/>
        <v>7500</v>
      </c>
      <c r="I44" s="840">
        <f>H44*$I$2/1000</f>
        <v>375</v>
      </c>
    </row>
    <row r="45" spans="1:9" x14ac:dyDescent="0.2">
      <c r="C45" t="s">
        <v>2613</v>
      </c>
      <c r="D45" s="1">
        <v>1700</v>
      </c>
      <c r="E45" s="824">
        <v>0.15</v>
      </c>
      <c r="F45" s="825">
        <v>30</v>
      </c>
      <c r="G45" s="826">
        <f t="shared" si="0"/>
        <v>4.5</v>
      </c>
      <c r="H45" s="827">
        <f t="shared" si="1"/>
        <v>7650</v>
      </c>
      <c r="I45" s="829">
        <f t="shared" si="2"/>
        <v>382.5</v>
      </c>
    </row>
    <row r="46" spans="1:9" x14ac:dyDescent="0.2">
      <c r="C46" t="s">
        <v>2614</v>
      </c>
      <c r="D46" s="1">
        <v>1750</v>
      </c>
      <c r="E46" s="824">
        <v>0.1</v>
      </c>
      <c r="F46" s="825">
        <v>30</v>
      </c>
      <c r="G46" s="826">
        <f t="shared" si="0"/>
        <v>3</v>
      </c>
      <c r="H46" s="827">
        <f t="shared" si="1"/>
        <v>5250</v>
      </c>
      <c r="I46" s="829">
        <f t="shared" si="2"/>
        <v>262.5</v>
      </c>
    </row>
    <row r="47" spans="1:9" x14ac:dyDescent="0.2">
      <c r="C47" t="s">
        <v>2633</v>
      </c>
      <c r="D47" s="1">
        <v>710</v>
      </c>
      <c r="E47" s="824">
        <v>0.05</v>
      </c>
      <c r="F47" s="825">
        <v>20</v>
      </c>
      <c r="G47" s="826">
        <f t="shared" si="0"/>
        <v>1</v>
      </c>
      <c r="H47" s="827">
        <f t="shared" si="1"/>
        <v>710</v>
      </c>
      <c r="I47" s="829">
        <f t="shared" si="2"/>
        <v>35.5</v>
      </c>
    </row>
    <row r="48" spans="1:9" x14ac:dyDescent="0.2">
      <c r="C48" t="s">
        <v>2685</v>
      </c>
      <c r="D48" s="1">
        <v>0</v>
      </c>
      <c r="E48" s="824">
        <v>0.1</v>
      </c>
      <c r="F48" s="825">
        <v>30</v>
      </c>
      <c r="G48" s="826">
        <f>E48*F48</f>
        <v>3</v>
      </c>
      <c r="H48" s="827">
        <f>D48*G48</f>
        <v>0</v>
      </c>
      <c r="I48" s="829">
        <f>H48*$I$2/1000</f>
        <v>0</v>
      </c>
    </row>
    <row r="49" spans="2:9" x14ac:dyDescent="0.2">
      <c r="C49" t="s">
        <v>2684</v>
      </c>
      <c r="D49" s="1">
        <v>1560</v>
      </c>
      <c r="E49" s="824">
        <v>0.3</v>
      </c>
      <c r="F49" s="825">
        <v>15</v>
      </c>
      <c r="G49" s="826">
        <f>E49*F49</f>
        <v>4.5</v>
      </c>
      <c r="H49" s="827">
        <f>D49*G49</f>
        <v>7020</v>
      </c>
      <c r="I49" s="829">
        <f>H49*$I$2/1000</f>
        <v>351</v>
      </c>
    </row>
    <row r="50" spans="2:9" x14ac:dyDescent="0.2">
      <c r="B50" t="s">
        <v>2608</v>
      </c>
      <c r="C50" t="s">
        <v>2616</v>
      </c>
      <c r="D50" s="1">
        <v>70</v>
      </c>
      <c r="E50" s="824">
        <v>1</v>
      </c>
      <c r="F50" s="825">
        <v>30</v>
      </c>
      <c r="G50" s="826">
        <f t="shared" si="0"/>
        <v>30</v>
      </c>
      <c r="H50" s="827">
        <f t="shared" si="1"/>
        <v>2100</v>
      </c>
      <c r="I50" s="829">
        <f>H50*$I$2/1000</f>
        <v>105</v>
      </c>
    </row>
    <row r="51" spans="2:9" x14ac:dyDescent="0.2">
      <c r="C51" t="s">
        <v>2617</v>
      </c>
      <c r="D51" s="1">
        <v>60</v>
      </c>
      <c r="E51" s="824">
        <v>0</v>
      </c>
      <c r="F51" s="825">
        <v>30</v>
      </c>
      <c r="G51" s="826">
        <f t="shared" si="0"/>
        <v>0</v>
      </c>
      <c r="H51" s="827">
        <f t="shared" si="1"/>
        <v>0</v>
      </c>
      <c r="I51" s="829">
        <f>H51*$I$2/1000</f>
        <v>0</v>
      </c>
    </row>
    <row r="52" spans="2:9" x14ac:dyDescent="0.2">
      <c r="C52" t="s">
        <v>2618</v>
      </c>
      <c r="D52" s="1">
        <v>10</v>
      </c>
      <c r="E52" s="824">
        <v>1</v>
      </c>
      <c r="F52" s="825">
        <v>30</v>
      </c>
      <c r="G52" s="826">
        <f t="shared" si="0"/>
        <v>30</v>
      </c>
      <c r="H52" s="827">
        <f t="shared" si="1"/>
        <v>300</v>
      </c>
      <c r="I52" s="829">
        <f>H52*$I$2/1000</f>
        <v>15</v>
      </c>
    </row>
    <row r="53" spans="2:9" x14ac:dyDescent="0.2">
      <c r="C53" t="s">
        <v>2622</v>
      </c>
      <c r="D53" s="1">
        <v>500</v>
      </c>
      <c r="E53" s="824">
        <v>2</v>
      </c>
      <c r="F53" s="825">
        <v>10</v>
      </c>
      <c r="G53" s="826">
        <f t="shared" si="0"/>
        <v>20</v>
      </c>
      <c r="H53" s="827">
        <f t="shared" si="1"/>
        <v>10000</v>
      </c>
      <c r="I53" s="829">
        <f t="shared" si="2"/>
        <v>500</v>
      </c>
    </row>
    <row r="54" spans="2:9" x14ac:dyDescent="0.2">
      <c r="B54" t="s">
        <v>2603</v>
      </c>
      <c r="C54" t="s">
        <v>2623</v>
      </c>
      <c r="D54" s="1">
        <v>100</v>
      </c>
      <c r="E54" s="824">
        <v>24</v>
      </c>
      <c r="F54" s="825">
        <v>30</v>
      </c>
      <c r="G54" s="826">
        <f t="shared" si="0"/>
        <v>720</v>
      </c>
      <c r="H54" s="827">
        <f t="shared" si="1"/>
        <v>72000</v>
      </c>
      <c r="I54" s="829">
        <f t="shared" si="2"/>
        <v>3600</v>
      </c>
    </row>
    <row r="55" spans="2:9" x14ac:dyDescent="0.2">
      <c r="B55" t="s">
        <v>2595</v>
      </c>
      <c r="C55" t="s">
        <v>2686</v>
      </c>
      <c r="D55" s="1">
        <v>30</v>
      </c>
      <c r="E55" s="824">
        <v>3</v>
      </c>
      <c r="F55" s="825">
        <v>30</v>
      </c>
      <c r="G55" s="826">
        <f t="shared" si="0"/>
        <v>90</v>
      </c>
      <c r="H55" s="827">
        <f t="shared" si="1"/>
        <v>2700</v>
      </c>
      <c r="I55" s="829">
        <f t="shared" si="2"/>
        <v>135</v>
      </c>
    </row>
    <row r="56" spans="2:9" x14ac:dyDescent="0.2">
      <c r="C56" t="s">
        <v>2690</v>
      </c>
      <c r="D56" s="1">
        <v>1</v>
      </c>
      <c r="E56" s="824">
        <v>12</v>
      </c>
      <c r="F56" s="825">
        <v>30</v>
      </c>
      <c r="G56" s="826">
        <f>E56*F56</f>
        <v>360</v>
      </c>
      <c r="H56" s="827">
        <f>D56*G56</f>
        <v>360</v>
      </c>
      <c r="I56" s="829">
        <f>H56*$I$2/1000</f>
        <v>18</v>
      </c>
    </row>
    <row r="57" spans="2:9" x14ac:dyDescent="0.2">
      <c r="C57" t="s">
        <v>2687</v>
      </c>
      <c r="D57" s="1">
        <v>50</v>
      </c>
      <c r="E57" s="824">
        <v>3</v>
      </c>
      <c r="F57" s="825">
        <v>30</v>
      </c>
      <c r="G57" s="826">
        <f t="shared" si="0"/>
        <v>90</v>
      </c>
      <c r="H57" s="827">
        <f t="shared" si="1"/>
        <v>4500</v>
      </c>
      <c r="I57" s="829">
        <f t="shared" si="2"/>
        <v>225</v>
      </c>
    </row>
    <row r="58" spans="2:9" x14ac:dyDescent="0.2">
      <c r="C58" t="s">
        <v>2689</v>
      </c>
      <c r="D58" s="1">
        <v>1</v>
      </c>
      <c r="E58" s="824">
        <v>12</v>
      </c>
      <c r="F58" s="825">
        <v>30</v>
      </c>
      <c r="G58" s="826">
        <f>E58*F58</f>
        <v>360</v>
      </c>
      <c r="H58" s="827">
        <f>D58*G58</f>
        <v>360</v>
      </c>
      <c r="I58" s="829">
        <f>H58*$I$2/1000</f>
        <v>18</v>
      </c>
    </row>
    <row r="59" spans="2:9" x14ac:dyDescent="0.2">
      <c r="C59" t="s">
        <v>2688</v>
      </c>
      <c r="D59" s="1">
        <v>28</v>
      </c>
      <c r="E59" s="824">
        <v>0</v>
      </c>
      <c r="F59" s="825">
        <v>30</v>
      </c>
      <c r="G59" s="826">
        <f>E59*F59</f>
        <v>0</v>
      </c>
      <c r="H59" s="827">
        <f>D59*G59</f>
        <v>0</v>
      </c>
      <c r="I59" s="829">
        <f>H59*$I$2/1000</f>
        <v>0</v>
      </c>
    </row>
    <row r="60" spans="2:9" ht="13.5" thickBot="1" x14ac:dyDescent="0.25">
      <c r="C60" t="s">
        <v>2691</v>
      </c>
      <c r="D60" s="1">
        <v>6</v>
      </c>
      <c r="E60" s="824">
        <v>1</v>
      </c>
      <c r="F60" s="825">
        <v>30</v>
      </c>
      <c r="G60" s="826">
        <f>E60*F60</f>
        <v>30</v>
      </c>
      <c r="H60" s="827">
        <f>D60*G60</f>
        <v>180</v>
      </c>
      <c r="I60" s="829">
        <f>H60*$I$2/1000</f>
        <v>9</v>
      </c>
    </row>
    <row r="61" spans="2:9" ht="13.5" thickBot="1" x14ac:dyDescent="0.25">
      <c r="G61" s="841" t="s">
        <v>2637</v>
      </c>
      <c r="H61" s="842">
        <f>SUM(H33:H60)</f>
        <v>231730</v>
      </c>
      <c r="I61" s="843">
        <f>SUM(I33:I60)</f>
        <v>11586.5</v>
      </c>
    </row>
    <row r="62" spans="2:9" ht="13.5" thickBot="1" x14ac:dyDescent="0.25"/>
    <row r="63" spans="2:9" ht="13.5" thickBot="1" x14ac:dyDescent="0.25">
      <c r="G63" s="841" t="s">
        <v>2630</v>
      </c>
      <c r="H63" s="844">
        <f>(H30+H61)/1000</f>
        <v>251.64099999999999</v>
      </c>
      <c r="I63" s="843">
        <f>I30+I61</f>
        <v>12632.05</v>
      </c>
    </row>
    <row r="66" spans="3:7" x14ac:dyDescent="0.2">
      <c r="C66" s="1" t="s">
        <v>3137</v>
      </c>
      <c r="D66" s="1" t="s">
        <v>3138</v>
      </c>
      <c r="E66" s="1" t="s">
        <v>3139</v>
      </c>
      <c r="F66" s="824" t="s">
        <v>3148</v>
      </c>
      <c r="G66" s="824" t="s">
        <v>3149</v>
      </c>
    </row>
    <row r="67" spans="3:7" x14ac:dyDescent="0.2">
      <c r="C67" s="114">
        <v>40514</v>
      </c>
      <c r="D67" s="1">
        <v>645</v>
      </c>
      <c r="E67" s="964">
        <v>19</v>
      </c>
    </row>
    <row r="68" spans="3:7" x14ac:dyDescent="0.2">
      <c r="C68" s="114">
        <v>40545</v>
      </c>
      <c r="D68" s="1">
        <v>897</v>
      </c>
      <c r="E68" s="964">
        <v>19</v>
      </c>
      <c r="F68" s="963">
        <f>D68-D67</f>
        <v>252</v>
      </c>
      <c r="G68" s="963">
        <f>E68-E67</f>
        <v>0</v>
      </c>
    </row>
    <row r="69" spans="3:7" x14ac:dyDescent="0.2">
      <c r="C69" s="114">
        <v>40576</v>
      </c>
      <c r="D69" s="1">
        <v>1197</v>
      </c>
      <c r="E69" s="964">
        <v>19</v>
      </c>
      <c r="F69" s="963">
        <f t="shared" ref="F69:F78" si="4">D69-D68</f>
        <v>300</v>
      </c>
      <c r="G69" s="963">
        <f t="shared" ref="G69:G79" si="5">E69-E68</f>
        <v>0</v>
      </c>
    </row>
    <row r="70" spans="3:7" x14ac:dyDescent="0.2">
      <c r="C70" s="114">
        <v>40604</v>
      </c>
      <c r="D70" s="1">
        <v>1432</v>
      </c>
      <c r="E70" s="964">
        <v>19</v>
      </c>
      <c r="F70" s="963">
        <f t="shared" si="4"/>
        <v>235</v>
      </c>
      <c r="G70" s="963">
        <f t="shared" si="5"/>
        <v>0</v>
      </c>
    </row>
    <row r="71" spans="3:7" x14ac:dyDescent="0.2">
      <c r="C71" s="114">
        <v>40635</v>
      </c>
      <c r="D71" s="1">
        <v>1666</v>
      </c>
      <c r="E71" s="964">
        <v>108</v>
      </c>
      <c r="F71" s="963">
        <f t="shared" si="4"/>
        <v>234</v>
      </c>
      <c r="G71" s="963">
        <f t="shared" si="5"/>
        <v>89</v>
      </c>
    </row>
    <row r="72" spans="3:7" x14ac:dyDescent="0.2">
      <c r="C72" s="114">
        <v>40665</v>
      </c>
      <c r="D72" s="1">
        <v>1858</v>
      </c>
      <c r="E72" s="964">
        <v>235</v>
      </c>
      <c r="F72" s="963">
        <f t="shared" si="4"/>
        <v>192</v>
      </c>
      <c r="G72" s="963">
        <f t="shared" si="5"/>
        <v>127</v>
      </c>
    </row>
    <row r="73" spans="3:7" x14ac:dyDescent="0.2">
      <c r="C73" s="114">
        <v>40696</v>
      </c>
      <c r="D73" s="1">
        <v>2058</v>
      </c>
      <c r="E73" s="964">
        <v>338</v>
      </c>
      <c r="F73" s="963">
        <f t="shared" si="4"/>
        <v>200</v>
      </c>
      <c r="G73" s="963">
        <f t="shared" si="5"/>
        <v>103</v>
      </c>
    </row>
    <row r="74" spans="3:7" x14ac:dyDescent="0.2">
      <c r="C74" s="114">
        <v>40726</v>
      </c>
      <c r="D74" s="1">
        <v>2248</v>
      </c>
      <c r="E74" s="964">
        <v>418</v>
      </c>
      <c r="F74" s="963">
        <f t="shared" si="4"/>
        <v>190</v>
      </c>
      <c r="G74" s="963">
        <f t="shared" si="5"/>
        <v>80</v>
      </c>
    </row>
    <row r="75" spans="3:7" x14ac:dyDescent="0.2">
      <c r="C75" s="114">
        <v>40757</v>
      </c>
      <c r="D75" s="1">
        <v>2459</v>
      </c>
      <c r="E75" s="964">
        <v>500</v>
      </c>
      <c r="F75" s="963">
        <f t="shared" si="4"/>
        <v>211</v>
      </c>
      <c r="G75" s="963">
        <f t="shared" si="5"/>
        <v>82</v>
      </c>
    </row>
    <row r="76" spans="3:7" x14ac:dyDescent="0.2">
      <c r="C76" s="114">
        <v>40788</v>
      </c>
      <c r="D76" s="1">
        <v>2640</v>
      </c>
      <c r="E76" s="964">
        <v>579</v>
      </c>
      <c r="F76" s="963">
        <f t="shared" si="4"/>
        <v>181</v>
      </c>
      <c r="G76" s="963">
        <f t="shared" si="5"/>
        <v>79</v>
      </c>
    </row>
    <row r="77" spans="3:7" x14ac:dyDescent="0.2">
      <c r="C77" s="114">
        <v>40818</v>
      </c>
      <c r="D77" s="1">
        <v>2852</v>
      </c>
      <c r="E77" s="964">
        <v>670</v>
      </c>
      <c r="F77" s="963">
        <f t="shared" si="4"/>
        <v>212</v>
      </c>
      <c r="G77" s="963">
        <f t="shared" si="5"/>
        <v>91</v>
      </c>
    </row>
    <row r="78" spans="3:7" x14ac:dyDescent="0.2">
      <c r="C78" s="114">
        <v>40849</v>
      </c>
      <c r="D78" s="1">
        <v>3103</v>
      </c>
      <c r="E78" s="964">
        <v>779</v>
      </c>
      <c r="F78" s="963">
        <f t="shared" si="4"/>
        <v>251</v>
      </c>
      <c r="G78" s="963">
        <f t="shared" si="5"/>
        <v>109</v>
      </c>
    </row>
    <row r="79" spans="3:7" x14ac:dyDescent="0.2">
      <c r="C79" s="114">
        <v>40880</v>
      </c>
      <c r="D79" s="1">
        <v>3381</v>
      </c>
      <c r="E79" s="964">
        <v>897</v>
      </c>
      <c r="F79" s="963">
        <f>D79-D78</f>
        <v>278</v>
      </c>
      <c r="G79" s="963">
        <f t="shared" si="5"/>
        <v>118</v>
      </c>
    </row>
    <row r="80" spans="3:7" x14ac:dyDescent="0.2">
      <c r="C80" s="114"/>
      <c r="F80" s="965">
        <f>SUM(F68:F79)</f>
        <v>2736</v>
      </c>
      <c r="G80" s="965">
        <f>SUM(G68:G79)</f>
        <v>878</v>
      </c>
    </row>
    <row r="81" spans="3:3" x14ac:dyDescent="0.2">
      <c r="C81" s="114"/>
    </row>
    <row r="82" spans="3:3" x14ac:dyDescent="0.2">
      <c r="C82" s="114">
        <v>40910</v>
      </c>
    </row>
    <row r="83" spans="3:3" x14ac:dyDescent="0.2">
      <c r="C83" s="114">
        <v>40941</v>
      </c>
    </row>
    <row r="84" spans="3:3" x14ac:dyDescent="0.2">
      <c r="C84" s="114">
        <v>40970</v>
      </c>
    </row>
    <row r="85" spans="3:3" x14ac:dyDescent="0.2">
      <c r="C85" s="114">
        <v>41001</v>
      </c>
    </row>
    <row r="86" spans="3:3" x14ac:dyDescent="0.2">
      <c r="C86" s="114">
        <v>41031</v>
      </c>
    </row>
    <row r="87" spans="3:3" x14ac:dyDescent="0.2">
      <c r="C87" s="114">
        <v>41062</v>
      </c>
    </row>
    <row r="88" spans="3:3" x14ac:dyDescent="0.2">
      <c r="C88" s="114">
        <v>41092</v>
      </c>
    </row>
    <row r="89" spans="3:3" x14ac:dyDescent="0.2">
      <c r="C89" s="114">
        <v>41123</v>
      </c>
    </row>
    <row r="90" spans="3:3" x14ac:dyDescent="0.2">
      <c r="C90" s="114">
        <v>41154</v>
      </c>
    </row>
    <row r="91" spans="3:3" x14ac:dyDescent="0.2">
      <c r="C91" s="114">
        <v>41184</v>
      </c>
    </row>
    <row r="92" spans="3:3" x14ac:dyDescent="0.2">
      <c r="C92" s="114">
        <v>41215</v>
      </c>
    </row>
    <row r="93" spans="3:3" x14ac:dyDescent="0.2">
      <c r="C93" s="114">
        <v>41245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Munka50"/>
  <dimension ref="A1:I86"/>
  <sheetViews>
    <sheetView topLeftCell="A13" workbookViewId="0">
      <selection activeCell="E47" sqref="E47"/>
    </sheetView>
  </sheetViews>
  <sheetFormatPr defaultRowHeight="12.75" x14ac:dyDescent="0.2"/>
  <cols>
    <col min="1" max="1" width="11.85546875" customWidth="1"/>
    <col min="2" max="2" width="12.7109375" customWidth="1"/>
    <col min="3" max="3" width="25" bestFit="1" customWidth="1"/>
    <col min="4" max="4" width="23" style="1" customWidth="1"/>
    <col min="5" max="5" width="20.5703125" style="824" customWidth="1"/>
    <col min="6" max="6" width="22.140625" style="825" customWidth="1"/>
    <col min="7" max="7" width="22.85546875" style="826" customWidth="1"/>
    <col min="8" max="8" width="20.7109375" style="827" customWidth="1"/>
    <col min="9" max="9" width="12.42578125" style="1" customWidth="1"/>
  </cols>
  <sheetData>
    <row r="1" spans="1:9" x14ac:dyDescent="0.2">
      <c r="C1" t="s">
        <v>2599</v>
      </c>
      <c r="D1" s="1" t="s">
        <v>2621</v>
      </c>
      <c r="E1" s="824" t="s">
        <v>2625</v>
      </c>
      <c r="F1" s="825" t="s">
        <v>2624</v>
      </c>
      <c r="G1" s="826" t="s">
        <v>2626</v>
      </c>
      <c r="H1" s="827" t="s">
        <v>2627</v>
      </c>
      <c r="I1" s="1" t="s">
        <v>2629</v>
      </c>
    </row>
    <row r="2" spans="1:9" x14ac:dyDescent="0.2">
      <c r="I2" s="828">
        <v>40</v>
      </c>
    </row>
    <row r="3" spans="1:9" x14ac:dyDescent="0.2">
      <c r="A3" s="691" t="s">
        <v>2632</v>
      </c>
      <c r="B3" t="s">
        <v>3606</v>
      </c>
      <c r="C3" t="s">
        <v>2595</v>
      </c>
      <c r="D3" s="1">
        <v>20</v>
      </c>
      <c r="E3" s="824">
        <v>3</v>
      </c>
      <c r="F3" s="825">
        <v>30</v>
      </c>
      <c r="G3" s="826">
        <f t="shared" ref="G3:G53" si="0">E3*F3</f>
        <v>90</v>
      </c>
      <c r="H3" s="827">
        <f t="shared" ref="H3:H53" si="1">D3*G3</f>
        <v>1800</v>
      </c>
      <c r="I3" s="829">
        <f>H3*$I$2/1000</f>
        <v>72</v>
      </c>
    </row>
    <row r="4" spans="1:9" x14ac:dyDescent="0.2">
      <c r="C4" t="s">
        <v>2696</v>
      </c>
      <c r="D4" s="1">
        <v>10</v>
      </c>
      <c r="E4" s="824">
        <v>3</v>
      </c>
      <c r="F4" s="825">
        <v>30</v>
      </c>
      <c r="G4" s="826">
        <f t="shared" si="0"/>
        <v>90</v>
      </c>
      <c r="H4" s="827">
        <f t="shared" si="1"/>
        <v>900</v>
      </c>
      <c r="I4" s="829">
        <f t="shared" ref="I4:I51" si="2">H4*$I$2/1000</f>
        <v>36</v>
      </c>
    </row>
    <row r="5" spans="1:9" x14ac:dyDescent="0.2">
      <c r="C5" t="s">
        <v>2695</v>
      </c>
      <c r="D5" s="1">
        <v>15</v>
      </c>
      <c r="E5" s="824">
        <v>3</v>
      </c>
      <c r="F5" s="825">
        <v>30</v>
      </c>
      <c r="G5" s="826">
        <f t="shared" si="0"/>
        <v>90</v>
      </c>
      <c r="H5" s="827">
        <f t="shared" si="1"/>
        <v>1350</v>
      </c>
      <c r="I5" s="829">
        <f t="shared" si="2"/>
        <v>54</v>
      </c>
    </row>
    <row r="6" spans="1:9" x14ac:dyDescent="0.2">
      <c r="C6" t="s">
        <v>2596</v>
      </c>
      <c r="D6" s="1">
        <v>11</v>
      </c>
      <c r="E6" s="824">
        <v>0.5</v>
      </c>
      <c r="F6" s="825">
        <v>30</v>
      </c>
      <c r="G6" s="826">
        <f t="shared" si="0"/>
        <v>15</v>
      </c>
      <c r="H6" s="827">
        <f t="shared" si="1"/>
        <v>165</v>
      </c>
      <c r="I6" s="829">
        <f t="shared" si="2"/>
        <v>6.6</v>
      </c>
    </row>
    <row r="7" spans="1:9" x14ac:dyDescent="0.2">
      <c r="B7" t="s">
        <v>3606</v>
      </c>
      <c r="C7" t="s">
        <v>2597</v>
      </c>
      <c r="D7" s="1">
        <v>10</v>
      </c>
      <c r="E7" s="824">
        <v>0.5</v>
      </c>
      <c r="F7" s="825">
        <v>30</v>
      </c>
      <c r="G7" s="826">
        <f t="shared" si="0"/>
        <v>15</v>
      </c>
      <c r="H7" s="827">
        <f t="shared" si="1"/>
        <v>150</v>
      </c>
      <c r="I7" s="829">
        <f t="shared" si="2"/>
        <v>6</v>
      </c>
    </row>
    <row r="8" spans="1:9" x14ac:dyDescent="0.2">
      <c r="B8" t="s">
        <v>3606</v>
      </c>
      <c r="C8" t="s">
        <v>2598</v>
      </c>
      <c r="D8" s="1">
        <v>20</v>
      </c>
      <c r="E8" s="824">
        <v>2</v>
      </c>
      <c r="F8" s="825">
        <v>30</v>
      </c>
      <c r="G8" s="826">
        <f t="shared" si="0"/>
        <v>60</v>
      </c>
      <c r="H8" s="827">
        <f t="shared" si="1"/>
        <v>1200</v>
      </c>
      <c r="I8" s="829">
        <f t="shared" si="2"/>
        <v>48</v>
      </c>
    </row>
    <row r="9" spans="1:9" x14ac:dyDescent="0.2">
      <c r="B9" t="s">
        <v>3606</v>
      </c>
      <c r="C9" t="s">
        <v>2600</v>
      </c>
      <c r="D9" s="1">
        <v>10</v>
      </c>
      <c r="E9" s="824">
        <v>0.5</v>
      </c>
      <c r="F9" s="825">
        <v>30</v>
      </c>
      <c r="G9" s="826">
        <f t="shared" si="0"/>
        <v>15</v>
      </c>
      <c r="H9" s="827">
        <f t="shared" si="1"/>
        <v>150</v>
      </c>
      <c r="I9" s="829">
        <f t="shared" si="2"/>
        <v>6</v>
      </c>
    </row>
    <row r="10" spans="1:9" x14ac:dyDescent="0.2">
      <c r="C10" t="s">
        <v>2601</v>
      </c>
      <c r="D10" s="1">
        <v>10</v>
      </c>
      <c r="E10" s="824">
        <v>0.5</v>
      </c>
      <c r="F10" s="825">
        <v>30</v>
      </c>
      <c r="G10" s="826">
        <f t="shared" si="0"/>
        <v>15</v>
      </c>
      <c r="H10" s="827">
        <f t="shared" si="1"/>
        <v>150</v>
      </c>
      <c r="I10" s="829">
        <f t="shared" si="2"/>
        <v>6</v>
      </c>
    </row>
    <row r="11" spans="1:9" x14ac:dyDescent="0.2">
      <c r="C11" t="s">
        <v>2602</v>
      </c>
      <c r="D11" s="1">
        <v>11</v>
      </c>
      <c r="E11" s="824">
        <v>0.2</v>
      </c>
      <c r="F11" s="825">
        <v>30</v>
      </c>
      <c r="G11" s="826">
        <f t="shared" si="0"/>
        <v>6</v>
      </c>
      <c r="H11" s="827">
        <f t="shared" si="1"/>
        <v>66</v>
      </c>
      <c r="I11" s="829">
        <f t="shared" si="2"/>
        <v>2.64</v>
      </c>
    </row>
    <row r="12" spans="1:9" x14ac:dyDescent="0.2">
      <c r="B12" t="s">
        <v>3606</v>
      </c>
      <c r="C12" t="s">
        <v>2612</v>
      </c>
      <c r="D12" s="1">
        <v>10</v>
      </c>
      <c r="E12" s="824">
        <v>1</v>
      </c>
      <c r="F12" s="825">
        <v>30</v>
      </c>
      <c r="G12" s="826">
        <f t="shared" si="0"/>
        <v>30</v>
      </c>
      <c r="H12" s="827">
        <f t="shared" si="1"/>
        <v>300</v>
      </c>
      <c r="I12" s="829">
        <f t="shared" si="2"/>
        <v>12</v>
      </c>
    </row>
    <row r="13" spans="1:9" x14ac:dyDescent="0.2">
      <c r="B13" t="s">
        <v>3606</v>
      </c>
      <c r="C13" t="s">
        <v>2692</v>
      </c>
      <c r="D13" s="1">
        <v>2</v>
      </c>
      <c r="E13" s="824">
        <v>1</v>
      </c>
      <c r="F13" s="825">
        <v>30</v>
      </c>
      <c r="G13" s="826">
        <f t="shared" si="0"/>
        <v>30</v>
      </c>
      <c r="H13" s="827">
        <f t="shared" si="1"/>
        <v>60</v>
      </c>
      <c r="I13" s="829">
        <f t="shared" si="2"/>
        <v>2.4</v>
      </c>
    </row>
    <row r="14" spans="1:9" x14ac:dyDescent="0.2">
      <c r="B14" t="s">
        <v>3606</v>
      </c>
      <c r="C14" t="s">
        <v>2693</v>
      </c>
      <c r="D14" s="1">
        <v>2</v>
      </c>
      <c r="E14" s="824">
        <v>0.5</v>
      </c>
      <c r="F14" s="825">
        <v>30</v>
      </c>
      <c r="G14" s="826">
        <f t="shared" si="0"/>
        <v>15</v>
      </c>
      <c r="H14" s="827">
        <f t="shared" si="1"/>
        <v>30</v>
      </c>
      <c r="I14" s="829">
        <f t="shared" si="2"/>
        <v>1.2</v>
      </c>
    </row>
    <row r="15" spans="1:9" x14ac:dyDescent="0.2">
      <c r="B15" t="s">
        <v>3606</v>
      </c>
      <c r="C15" t="s">
        <v>2667</v>
      </c>
      <c r="D15" s="1">
        <v>15</v>
      </c>
      <c r="E15" s="824">
        <v>0.5</v>
      </c>
      <c r="F15" s="825">
        <v>30</v>
      </c>
      <c r="G15" s="826">
        <f t="shared" si="0"/>
        <v>15</v>
      </c>
      <c r="H15" s="827">
        <f t="shared" si="1"/>
        <v>225</v>
      </c>
      <c r="I15" s="829">
        <f t="shared" si="2"/>
        <v>9</v>
      </c>
    </row>
    <row r="16" spans="1:9" x14ac:dyDescent="0.2">
      <c r="C16" t="s">
        <v>2768</v>
      </c>
      <c r="D16" s="1">
        <v>80</v>
      </c>
      <c r="E16" s="824">
        <v>0.5</v>
      </c>
      <c r="F16" s="825">
        <v>30</v>
      </c>
      <c r="G16" s="826">
        <f t="shared" si="0"/>
        <v>15</v>
      </c>
      <c r="H16" s="827">
        <f t="shared" si="1"/>
        <v>1200</v>
      </c>
      <c r="I16" s="829">
        <f t="shared" si="2"/>
        <v>48</v>
      </c>
    </row>
    <row r="17" spans="1:9" x14ac:dyDescent="0.2">
      <c r="C17" t="s">
        <v>2668</v>
      </c>
      <c r="D17" s="1">
        <v>8</v>
      </c>
      <c r="E17" s="824">
        <v>2</v>
      </c>
      <c r="F17" s="825">
        <v>30</v>
      </c>
      <c r="G17" s="826">
        <f>E17*F17</f>
        <v>60</v>
      </c>
      <c r="H17" s="827">
        <f>D17*G17</f>
        <v>480</v>
      </c>
      <c r="I17" s="829">
        <f>H17*$I$2/1000</f>
        <v>19.2</v>
      </c>
    </row>
    <row r="18" spans="1:9" x14ac:dyDescent="0.2">
      <c r="B18" t="s">
        <v>3606</v>
      </c>
      <c r="C18" t="s">
        <v>2608</v>
      </c>
      <c r="D18" s="1">
        <v>45</v>
      </c>
      <c r="E18" s="824">
        <v>1</v>
      </c>
      <c r="F18" s="825">
        <v>30</v>
      </c>
      <c r="G18" s="826">
        <f t="shared" si="0"/>
        <v>30</v>
      </c>
      <c r="H18" s="827">
        <f t="shared" si="1"/>
        <v>1350</v>
      </c>
      <c r="I18" s="829">
        <f t="shared" si="2"/>
        <v>54</v>
      </c>
    </row>
    <row r="19" spans="1:9" x14ac:dyDescent="0.2">
      <c r="C19" t="s">
        <v>2609</v>
      </c>
      <c r="D19" s="1">
        <v>35</v>
      </c>
      <c r="E19" s="824">
        <v>0.5</v>
      </c>
      <c r="F19" s="825">
        <v>30</v>
      </c>
      <c r="G19" s="826">
        <f t="shared" si="0"/>
        <v>15</v>
      </c>
      <c r="H19" s="827">
        <f t="shared" si="1"/>
        <v>525</v>
      </c>
      <c r="I19" s="829">
        <f t="shared" si="2"/>
        <v>21</v>
      </c>
    </row>
    <row r="20" spans="1:9" x14ac:dyDescent="0.2">
      <c r="C20" t="s">
        <v>2610</v>
      </c>
      <c r="D20" s="1">
        <v>21</v>
      </c>
      <c r="E20" s="824">
        <v>0.5</v>
      </c>
      <c r="F20" s="825">
        <v>30</v>
      </c>
      <c r="G20" s="826">
        <f t="shared" si="0"/>
        <v>15</v>
      </c>
      <c r="H20" s="827">
        <f t="shared" si="1"/>
        <v>315</v>
      </c>
      <c r="I20" s="829">
        <f t="shared" si="2"/>
        <v>12.6</v>
      </c>
    </row>
    <row r="21" spans="1:9" x14ac:dyDescent="0.2">
      <c r="C21" t="s">
        <v>2611</v>
      </c>
      <c r="D21" s="1">
        <v>35</v>
      </c>
      <c r="E21" s="824">
        <v>0.5</v>
      </c>
      <c r="F21" s="825">
        <v>30</v>
      </c>
      <c r="G21" s="826">
        <f t="shared" si="0"/>
        <v>15</v>
      </c>
      <c r="H21" s="827">
        <f t="shared" si="1"/>
        <v>525</v>
      </c>
      <c r="I21" s="829">
        <f t="shared" si="2"/>
        <v>21</v>
      </c>
    </row>
    <row r="22" spans="1:9" x14ac:dyDescent="0.2">
      <c r="B22" t="s">
        <v>3606</v>
      </c>
      <c r="C22" t="s">
        <v>2606</v>
      </c>
      <c r="D22" s="1">
        <v>10</v>
      </c>
      <c r="E22" s="824">
        <v>1</v>
      </c>
      <c r="F22" s="825">
        <v>30</v>
      </c>
      <c r="G22" s="826">
        <f t="shared" si="0"/>
        <v>30</v>
      </c>
      <c r="H22" s="827">
        <f t="shared" si="1"/>
        <v>300</v>
      </c>
      <c r="I22" s="829">
        <f t="shared" si="2"/>
        <v>12</v>
      </c>
    </row>
    <row r="23" spans="1:9" x14ac:dyDescent="0.2">
      <c r="C23" t="s">
        <v>2603</v>
      </c>
      <c r="D23" s="1">
        <v>10</v>
      </c>
      <c r="E23" s="824">
        <v>0.5</v>
      </c>
      <c r="F23" s="825">
        <v>30</v>
      </c>
      <c r="G23" s="826">
        <f t="shared" si="0"/>
        <v>15</v>
      </c>
      <c r="H23" s="827">
        <f t="shared" si="1"/>
        <v>150</v>
      </c>
      <c r="I23" s="829">
        <f t="shared" si="2"/>
        <v>6</v>
      </c>
    </row>
    <row r="24" spans="1:9" x14ac:dyDescent="0.2">
      <c r="C24" t="s">
        <v>931</v>
      </c>
      <c r="D24" s="1">
        <v>10</v>
      </c>
      <c r="E24" s="824">
        <v>1</v>
      </c>
      <c r="F24" s="825">
        <v>30</v>
      </c>
      <c r="G24" s="826">
        <f t="shared" si="0"/>
        <v>30</v>
      </c>
      <c r="H24" s="827">
        <f t="shared" si="1"/>
        <v>300</v>
      </c>
      <c r="I24" s="829">
        <f t="shared" si="2"/>
        <v>12</v>
      </c>
    </row>
    <row r="25" spans="1:9" x14ac:dyDescent="0.2">
      <c r="B25" t="s">
        <v>3606</v>
      </c>
      <c r="C25" t="s">
        <v>673</v>
      </c>
      <c r="D25" s="1">
        <v>10</v>
      </c>
      <c r="E25" s="824">
        <v>0.5</v>
      </c>
      <c r="F25" s="825">
        <v>30</v>
      </c>
      <c r="G25" s="826">
        <f t="shared" si="0"/>
        <v>15</v>
      </c>
      <c r="H25" s="827">
        <f t="shared" si="1"/>
        <v>150</v>
      </c>
      <c r="I25" s="829">
        <f t="shared" si="2"/>
        <v>6</v>
      </c>
    </row>
    <row r="26" spans="1:9" x14ac:dyDescent="0.2">
      <c r="B26" t="s">
        <v>3606</v>
      </c>
      <c r="C26" t="s">
        <v>2604</v>
      </c>
      <c r="D26" s="1">
        <v>20</v>
      </c>
      <c r="E26" s="824">
        <v>0.2</v>
      </c>
      <c r="F26" s="825">
        <v>30</v>
      </c>
      <c r="G26" s="826">
        <f t="shared" si="0"/>
        <v>6</v>
      </c>
      <c r="H26" s="827">
        <f t="shared" si="1"/>
        <v>120</v>
      </c>
      <c r="I26" s="830">
        <f t="shared" si="2"/>
        <v>4.8</v>
      </c>
    </row>
    <row r="27" spans="1:9" s="339" customFormat="1" x14ac:dyDescent="0.2">
      <c r="C27" s="339" t="s">
        <v>2605</v>
      </c>
      <c r="D27" s="395">
        <v>240</v>
      </c>
      <c r="E27" s="831">
        <v>0.1</v>
      </c>
      <c r="F27" s="832">
        <v>30</v>
      </c>
      <c r="G27" s="833">
        <f t="shared" si="0"/>
        <v>3</v>
      </c>
      <c r="H27" s="834">
        <f t="shared" si="1"/>
        <v>720</v>
      </c>
      <c r="I27" s="830">
        <f t="shared" si="2"/>
        <v>28.8</v>
      </c>
    </row>
    <row r="28" spans="1:9" s="339" customFormat="1" x14ac:dyDescent="0.2">
      <c r="B28" t="s">
        <v>3606</v>
      </c>
      <c r="C28" s="339" t="s">
        <v>3605</v>
      </c>
      <c r="D28" s="395">
        <v>30</v>
      </c>
      <c r="E28" s="831">
        <v>0.5</v>
      </c>
      <c r="F28" s="832">
        <v>30</v>
      </c>
      <c r="G28" s="833">
        <f>E28*F28</f>
        <v>15</v>
      </c>
      <c r="H28" s="834">
        <f>D28*G28</f>
        <v>450</v>
      </c>
      <c r="I28" s="830">
        <f>H28*$I$2/1000</f>
        <v>18</v>
      </c>
    </row>
    <row r="29" spans="1:9" s="339" customFormat="1" ht="13.5" thickBot="1" x14ac:dyDescent="0.25">
      <c r="C29" s="339" t="s">
        <v>2631</v>
      </c>
      <c r="D29" s="395">
        <v>120</v>
      </c>
      <c r="E29" s="831">
        <v>0.1</v>
      </c>
      <c r="F29" s="832">
        <v>10</v>
      </c>
      <c r="G29" s="833">
        <f t="shared" si="0"/>
        <v>1</v>
      </c>
      <c r="H29" s="834">
        <f t="shared" si="1"/>
        <v>120</v>
      </c>
      <c r="I29" s="830">
        <f t="shared" si="2"/>
        <v>4.8</v>
      </c>
    </row>
    <row r="30" spans="1:9" s="339" customFormat="1" ht="13.5" thickBot="1" x14ac:dyDescent="0.25">
      <c r="D30" s="395"/>
      <c r="E30" s="831"/>
      <c r="F30" s="832"/>
      <c r="G30" s="841" t="s">
        <v>2636</v>
      </c>
      <c r="H30" s="842">
        <f>SUM(H3:H29)</f>
        <v>13251</v>
      </c>
      <c r="I30" s="843">
        <f>SUM(I2:I29)</f>
        <v>570.03999999999985</v>
      </c>
    </row>
    <row r="31" spans="1:9" s="339" customFormat="1" x14ac:dyDescent="0.2">
      <c r="D31" s="395"/>
      <c r="E31" s="831"/>
      <c r="F31" s="832"/>
      <c r="G31" s="833"/>
      <c r="H31" s="834"/>
      <c r="I31" s="830"/>
    </row>
    <row r="32" spans="1:9" x14ac:dyDescent="0.2">
      <c r="A32" s="915" t="s">
        <v>2607</v>
      </c>
    </row>
    <row r="33" spans="1:9" s="908" customFormat="1" x14ac:dyDescent="0.2">
      <c r="A33" s="603"/>
      <c r="B33" s="908" t="s">
        <v>2612</v>
      </c>
      <c r="C33" s="908" t="s">
        <v>2615</v>
      </c>
      <c r="D33" s="909">
        <v>1800</v>
      </c>
      <c r="E33" s="910">
        <v>0.4</v>
      </c>
      <c r="F33" s="911">
        <v>30</v>
      </c>
      <c r="G33" s="912">
        <f>E33*F33</f>
        <v>12</v>
      </c>
      <c r="H33" s="913">
        <f>D33*G33</f>
        <v>21600</v>
      </c>
      <c r="I33" s="914">
        <f>H33*$I$2/1000</f>
        <v>864</v>
      </c>
    </row>
    <row r="34" spans="1:9" s="588" customFormat="1" x14ac:dyDescent="0.2">
      <c r="B34" s="588" t="s">
        <v>2604</v>
      </c>
      <c r="C34" s="588" t="s">
        <v>2665</v>
      </c>
      <c r="D34" s="835">
        <v>18</v>
      </c>
      <c r="E34" s="836">
        <v>23</v>
      </c>
      <c r="F34" s="837">
        <v>30</v>
      </c>
      <c r="G34" s="838">
        <f>E34*F34</f>
        <v>690</v>
      </c>
      <c r="H34" s="839">
        <f>D34*G34</f>
        <v>12420</v>
      </c>
      <c r="I34" s="840">
        <f>H34*$I$2/1000</f>
        <v>496.8</v>
      </c>
    </row>
    <row r="35" spans="1:9" s="588" customFormat="1" x14ac:dyDescent="0.2">
      <c r="C35" s="588" t="s">
        <v>2666</v>
      </c>
      <c r="D35" s="835">
        <v>100</v>
      </c>
      <c r="E35" s="836">
        <v>1</v>
      </c>
      <c r="F35" s="837">
        <v>30</v>
      </c>
      <c r="G35" s="838">
        <f>E35*F35</f>
        <v>30</v>
      </c>
      <c r="H35" s="839">
        <f>D35*G35</f>
        <v>3000</v>
      </c>
      <c r="I35" s="840">
        <f>H35*$I$2/1000</f>
        <v>120</v>
      </c>
    </row>
    <row r="36" spans="1:9" s="588" customFormat="1" x14ac:dyDescent="0.2">
      <c r="B36" s="588" t="s">
        <v>674</v>
      </c>
      <c r="C36" s="588" t="s">
        <v>702</v>
      </c>
      <c r="D36" s="835">
        <v>1000</v>
      </c>
      <c r="E36" s="836">
        <v>1</v>
      </c>
      <c r="F36" s="837">
        <v>10</v>
      </c>
      <c r="G36" s="838">
        <f t="shared" si="0"/>
        <v>10</v>
      </c>
      <c r="H36" s="839">
        <f t="shared" si="1"/>
        <v>10000</v>
      </c>
      <c r="I36" s="840">
        <f t="shared" si="2"/>
        <v>400</v>
      </c>
    </row>
    <row r="37" spans="1:9" s="588" customFormat="1" x14ac:dyDescent="0.2">
      <c r="C37" s="588" t="s">
        <v>701</v>
      </c>
      <c r="D37" s="835">
        <v>1000</v>
      </c>
      <c r="E37" s="836">
        <v>1</v>
      </c>
      <c r="F37" s="837">
        <v>30</v>
      </c>
      <c r="G37" s="838">
        <f t="shared" si="0"/>
        <v>30</v>
      </c>
      <c r="H37" s="839">
        <f t="shared" si="1"/>
        <v>30000</v>
      </c>
      <c r="I37" s="840">
        <f t="shared" si="2"/>
        <v>1200</v>
      </c>
    </row>
    <row r="38" spans="1:9" s="588" customFormat="1" x14ac:dyDescent="0.2">
      <c r="C38" s="588" t="s">
        <v>700</v>
      </c>
      <c r="D38" s="835">
        <v>500</v>
      </c>
      <c r="E38" s="836">
        <v>1</v>
      </c>
      <c r="F38" s="837">
        <v>15</v>
      </c>
      <c r="G38" s="838">
        <f t="shared" si="0"/>
        <v>15</v>
      </c>
      <c r="H38" s="839">
        <f t="shared" si="1"/>
        <v>7500</v>
      </c>
      <c r="I38" s="840">
        <f>H38*$I$2/1000</f>
        <v>300</v>
      </c>
    </row>
    <row r="39" spans="1:9" x14ac:dyDescent="0.2">
      <c r="C39" t="s">
        <v>2613</v>
      </c>
      <c r="D39" s="1">
        <v>1700</v>
      </c>
      <c r="E39" s="824">
        <v>0.15</v>
      </c>
      <c r="F39" s="825">
        <v>30</v>
      </c>
      <c r="G39" s="826">
        <f t="shared" si="0"/>
        <v>4.5</v>
      </c>
      <c r="H39" s="827">
        <f t="shared" si="1"/>
        <v>7650</v>
      </c>
      <c r="I39" s="829">
        <f t="shared" si="2"/>
        <v>306</v>
      </c>
    </row>
    <row r="40" spans="1:9" x14ac:dyDescent="0.2">
      <c r="C40" t="s">
        <v>2614</v>
      </c>
      <c r="D40" s="1">
        <v>1750</v>
      </c>
      <c r="E40" s="824">
        <v>0.1</v>
      </c>
      <c r="F40" s="825">
        <v>30</v>
      </c>
      <c r="G40" s="826">
        <f t="shared" si="0"/>
        <v>3</v>
      </c>
      <c r="H40" s="827">
        <f t="shared" si="1"/>
        <v>5250</v>
      </c>
      <c r="I40" s="829">
        <f t="shared" si="2"/>
        <v>210</v>
      </c>
    </row>
    <row r="41" spans="1:9" x14ac:dyDescent="0.2">
      <c r="C41" t="s">
        <v>2633</v>
      </c>
      <c r="D41" s="1">
        <v>710</v>
      </c>
      <c r="E41" s="824">
        <v>0.05</v>
      </c>
      <c r="F41" s="825">
        <v>20</v>
      </c>
      <c r="G41" s="826">
        <f t="shared" si="0"/>
        <v>1</v>
      </c>
      <c r="H41" s="827">
        <f t="shared" si="1"/>
        <v>710</v>
      </c>
      <c r="I41" s="829">
        <f t="shared" si="2"/>
        <v>28.4</v>
      </c>
    </row>
    <row r="42" spans="1:9" x14ac:dyDescent="0.2">
      <c r="C42" t="s">
        <v>2684</v>
      </c>
      <c r="D42" s="1">
        <v>1560</v>
      </c>
      <c r="E42" s="824">
        <v>0.2</v>
      </c>
      <c r="F42" s="825">
        <v>15</v>
      </c>
      <c r="G42" s="826">
        <f t="shared" si="0"/>
        <v>3</v>
      </c>
      <c r="H42" s="827">
        <f t="shared" si="1"/>
        <v>4680</v>
      </c>
      <c r="I42" s="829">
        <f t="shared" si="2"/>
        <v>187.2</v>
      </c>
    </row>
    <row r="43" spans="1:9" x14ac:dyDescent="0.2">
      <c r="B43" t="s">
        <v>2608</v>
      </c>
      <c r="C43" t="s">
        <v>2616</v>
      </c>
      <c r="D43" s="1">
        <v>50</v>
      </c>
      <c r="E43" s="824">
        <v>1</v>
      </c>
      <c r="F43" s="825">
        <v>30</v>
      </c>
      <c r="G43" s="826">
        <f t="shared" si="0"/>
        <v>30</v>
      </c>
      <c r="H43" s="827">
        <f t="shared" si="1"/>
        <v>1500</v>
      </c>
      <c r="I43" s="829">
        <f>H43*$I$2/1000</f>
        <v>60</v>
      </c>
    </row>
    <row r="44" spans="1:9" x14ac:dyDescent="0.2">
      <c r="C44" t="s">
        <v>2617</v>
      </c>
      <c r="D44" s="1">
        <v>60</v>
      </c>
      <c r="E44" s="824">
        <v>0</v>
      </c>
      <c r="F44" s="825">
        <v>30</v>
      </c>
      <c r="G44" s="826">
        <f t="shared" si="0"/>
        <v>0</v>
      </c>
      <c r="H44" s="827">
        <f t="shared" si="1"/>
        <v>0</v>
      </c>
      <c r="I44" s="829">
        <f>H44*$I$2/1000</f>
        <v>0</v>
      </c>
    </row>
    <row r="45" spans="1:9" x14ac:dyDescent="0.2">
      <c r="C45" t="s">
        <v>3607</v>
      </c>
      <c r="D45" s="1">
        <v>22</v>
      </c>
      <c r="E45" s="824">
        <v>1</v>
      </c>
      <c r="F45" s="825">
        <v>30</v>
      </c>
      <c r="G45" s="826">
        <f t="shared" si="0"/>
        <v>30</v>
      </c>
      <c r="H45" s="827">
        <f t="shared" si="1"/>
        <v>660</v>
      </c>
      <c r="I45" s="829">
        <f>H45*$I$2/1000</f>
        <v>26.4</v>
      </c>
    </row>
    <row r="46" spans="1:9" x14ac:dyDescent="0.2">
      <c r="C46" t="s">
        <v>3682</v>
      </c>
      <c r="D46" s="1">
        <v>700</v>
      </c>
      <c r="E46" s="824">
        <v>4</v>
      </c>
      <c r="F46" s="825">
        <v>4</v>
      </c>
      <c r="G46" s="826">
        <f t="shared" si="0"/>
        <v>16</v>
      </c>
      <c r="H46" s="827">
        <f t="shared" si="1"/>
        <v>11200</v>
      </c>
      <c r="I46" s="829">
        <f t="shared" si="2"/>
        <v>448</v>
      </c>
    </row>
    <row r="47" spans="1:9" x14ac:dyDescent="0.2">
      <c r="B47" t="s">
        <v>2603</v>
      </c>
      <c r="C47" t="s">
        <v>2623</v>
      </c>
      <c r="D47" s="1">
        <v>42</v>
      </c>
      <c r="E47" s="824">
        <v>24</v>
      </c>
      <c r="F47" s="825">
        <v>30</v>
      </c>
      <c r="G47" s="826">
        <f t="shared" si="0"/>
        <v>720</v>
      </c>
      <c r="H47" s="827">
        <f t="shared" si="1"/>
        <v>30240</v>
      </c>
      <c r="I47" s="829">
        <f t="shared" si="2"/>
        <v>1209.5999999999999</v>
      </c>
    </row>
    <row r="48" spans="1:9" x14ac:dyDescent="0.2">
      <c r="B48" t="s">
        <v>2595</v>
      </c>
      <c r="C48" t="s">
        <v>2686</v>
      </c>
      <c r="D48" s="1">
        <v>30</v>
      </c>
      <c r="E48" s="824">
        <v>1</v>
      </c>
      <c r="F48" s="825">
        <v>30</v>
      </c>
      <c r="G48" s="826">
        <f t="shared" si="0"/>
        <v>30</v>
      </c>
      <c r="H48" s="827">
        <f t="shared" si="1"/>
        <v>900</v>
      </c>
      <c r="I48" s="829">
        <f t="shared" si="2"/>
        <v>36</v>
      </c>
    </row>
    <row r="49" spans="1:9" x14ac:dyDescent="0.2">
      <c r="C49" t="s">
        <v>2690</v>
      </c>
      <c r="D49" s="1">
        <v>1</v>
      </c>
      <c r="E49" s="824">
        <v>12</v>
      </c>
      <c r="F49" s="825">
        <v>30</v>
      </c>
      <c r="G49" s="826">
        <f t="shared" si="0"/>
        <v>360</v>
      </c>
      <c r="H49" s="827">
        <f t="shared" si="1"/>
        <v>360</v>
      </c>
      <c r="I49" s="829">
        <f t="shared" si="2"/>
        <v>14.4</v>
      </c>
    </row>
    <row r="50" spans="1:9" x14ac:dyDescent="0.2">
      <c r="C50" t="s">
        <v>2687</v>
      </c>
      <c r="D50" s="1">
        <v>50</v>
      </c>
      <c r="E50" s="824">
        <v>12</v>
      </c>
      <c r="F50" s="825">
        <v>30</v>
      </c>
      <c r="G50" s="826">
        <f t="shared" si="0"/>
        <v>360</v>
      </c>
      <c r="H50" s="827">
        <f t="shared" si="1"/>
        <v>18000</v>
      </c>
      <c r="I50" s="829">
        <f t="shared" si="2"/>
        <v>720</v>
      </c>
    </row>
    <row r="51" spans="1:9" x14ac:dyDescent="0.2">
      <c r="C51" t="s">
        <v>2689</v>
      </c>
      <c r="D51" s="1">
        <v>1</v>
      </c>
      <c r="E51" s="824">
        <v>12</v>
      </c>
      <c r="F51" s="825">
        <v>30</v>
      </c>
      <c r="G51" s="826">
        <f t="shared" si="0"/>
        <v>360</v>
      </c>
      <c r="H51" s="827">
        <f t="shared" si="1"/>
        <v>360</v>
      </c>
      <c r="I51" s="829">
        <f t="shared" si="2"/>
        <v>14.4</v>
      </c>
    </row>
    <row r="52" spans="1:9" x14ac:dyDescent="0.2">
      <c r="C52" t="s">
        <v>2688</v>
      </c>
      <c r="D52" s="1">
        <v>28</v>
      </c>
      <c r="E52" s="824">
        <v>0</v>
      </c>
      <c r="F52" s="825">
        <v>30</v>
      </c>
      <c r="G52" s="826">
        <f t="shared" si="0"/>
        <v>0</v>
      </c>
      <c r="H52" s="827">
        <f t="shared" si="1"/>
        <v>0</v>
      </c>
      <c r="I52" s="829">
        <f>H52*$I$2/1000</f>
        <v>0</v>
      </c>
    </row>
    <row r="53" spans="1:9" ht="13.5" thickBot="1" x14ac:dyDescent="0.25">
      <c r="C53" t="s">
        <v>2691</v>
      </c>
      <c r="D53" s="1">
        <v>6</v>
      </c>
      <c r="E53" s="824">
        <v>1</v>
      </c>
      <c r="F53" s="825">
        <v>30</v>
      </c>
      <c r="G53" s="826">
        <f t="shared" si="0"/>
        <v>30</v>
      </c>
      <c r="H53" s="827">
        <f t="shared" si="1"/>
        <v>180</v>
      </c>
      <c r="I53" s="829">
        <f>H53*$I$2/1000</f>
        <v>7.2</v>
      </c>
    </row>
    <row r="54" spans="1:9" ht="13.5" thickBot="1" x14ac:dyDescent="0.25">
      <c r="G54" s="841" t="s">
        <v>2637</v>
      </c>
      <c r="H54" s="842">
        <f>SUM(H33:H53)</f>
        <v>166210</v>
      </c>
      <c r="I54" s="843">
        <f>SUM(I33:I53)</f>
        <v>6648.3999999999987</v>
      </c>
    </row>
    <row r="55" spans="1:9" ht="13.5" thickBot="1" x14ac:dyDescent="0.25"/>
    <row r="56" spans="1:9" ht="13.5" thickBot="1" x14ac:dyDescent="0.25">
      <c r="G56" s="841" t="s">
        <v>2630</v>
      </c>
      <c r="H56" s="844">
        <f>(H30+H54)/1000</f>
        <v>179.46100000000001</v>
      </c>
      <c r="I56" s="843">
        <f>I30+I54</f>
        <v>7218.4399999999987</v>
      </c>
    </row>
    <row r="59" spans="1:9" s="827" customFormat="1" x14ac:dyDescent="0.2">
      <c r="A59"/>
      <c r="B59"/>
      <c r="C59" s="1" t="s">
        <v>3137</v>
      </c>
      <c r="D59" s="1" t="s">
        <v>3138</v>
      </c>
      <c r="E59" s="1" t="s">
        <v>3139</v>
      </c>
      <c r="F59" s="824" t="s">
        <v>3148</v>
      </c>
      <c r="G59" s="824" t="s">
        <v>3149</v>
      </c>
      <c r="I59" s="1"/>
    </row>
    <row r="60" spans="1:9" s="827" customFormat="1" x14ac:dyDescent="0.2">
      <c r="A60"/>
      <c r="B60"/>
      <c r="C60" s="114">
        <v>40514</v>
      </c>
      <c r="D60" s="1">
        <v>645</v>
      </c>
      <c r="E60" s="964">
        <v>19</v>
      </c>
      <c r="F60" s="825"/>
      <c r="G60" s="826"/>
      <c r="I60" s="1"/>
    </row>
    <row r="61" spans="1:9" s="827" customFormat="1" x14ac:dyDescent="0.2">
      <c r="A61"/>
      <c r="B61"/>
      <c r="C61" s="114">
        <v>40545</v>
      </c>
      <c r="D61" s="1">
        <v>897</v>
      </c>
      <c r="E61" s="964">
        <v>19</v>
      </c>
      <c r="F61" s="963">
        <f>D61-D60</f>
        <v>252</v>
      </c>
      <c r="G61" s="963">
        <f>E61-E60</f>
        <v>0</v>
      </c>
      <c r="I61" s="1"/>
    </row>
    <row r="62" spans="1:9" s="827" customFormat="1" x14ac:dyDescent="0.2">
      <c r="A62"/>
      <c r="B62"/>
      <c r="C62" s="114">
        <v>40576</v>
      </c>
      <c r="D62" s="1">
        <v>1197</v>
      </c>
      <c r="E62" s="964">
        <v>19</v>
      </c>
      <c r="F62" s="963">
        <f t="shared" ref="F62:G72" si="3">D62-D61</f>
        <v>300</v>
      </c>
      <c r="G62" s="963">
        <f t="shared" si="3"/>
        <v>0</v>
      </c>
      <c r="I62" s="1"/>
    </row>
    <row r="63" spans="1:9" s="827" customFormat="1" x14ac:dyDescent="0.2">
      <c r="A63"/>
      <c r="B63"/>
      <c r="C63" s="114">
        <v>40604</v>
      </c>
      <c r="D63" s="1">
        <v>1432</v>
      </c>
      <c r="E63" s="964">
        <v>19</v>
      </c>
      <c r="F63" s="963">
        <f t="shared" si="3"/>
        <v>235</v>
      </c>
      <c r="G63" s="963">
        <f t="shared" si="3"/>
        <v>0</v>
      </c>
      <c r="I63" s="1"/>
    </row>
    <row r="64" spans="1:9" s="827" customFormat="1" x14ac:dyDescent="0.2">
      <c r="A64"/>
      <c r="B64"/>
      <c r="C64" s="114">
        <v>40635</v>
      </c>
      <c r="D64" s="1">
        <v>1666</v>
      </c>
      <c r="E64" s="964">
        <v>108</v>
      </c>
      <c r="F64" s="963">
        <f t="shared" si="3"/>
        <v>234</v>
      </c>
      <c r="G64" s="963">
        <f t="shared" si="3"/>
        <v>89</v>
      </c>
      <c r="I64" s="1"/>
    </row>
    <row r="65" spans="1:9" s="827" customFormat="1" x14ac:dyDescent="0.2">
      <c r="A65"/>
      <c r="B65"/>
      <c r="C65" s="114">
        <v>40665</v>
      </c>
      <c r="D65" s="1">
        <v>1858</v>
      </c>
      <c r="E65" s="964">
        <v>235</v>
      </c>
      <c r="F65" s="963">
        <f t="shared" si="3"/>
        <v>192</v>
      </c>
      <c r="G65" s="963">
        <f t="shared" si="3"/>
        <v>127</v>
      </c>
      <c r="I65" s="1"/>
    </row>
    <row r="66" spans="1:9" s="827" customFormat="1" x14ac:dyDescent="0.2">
      <c r="A66"/>
      <c r="B66"/>
      <c r="C66" s="114">
        <v>40696</v>
      </c>
      <c r="D66" s="1">
        <v>2058</v>
      </c>
      <c r="E66" s="964">
        <v>338</v>
      </c>
      <c r="F66" s="963">
        <f t="shared" si="3"/>
        <v>200</v>
      </c>
      <c r="G66" s="963">
        <f t="shared" si="3"/>
        <v>103</v>
      </c>
      <c r="I66" s="1"/>
    </row>
    <row r="67" spans="1:9" s="827" customFormat="1" x14ac:dyDescent="0.2">
      <c r="A67"/>
      <c r="B67"/>
      <c r="C67" s="114">
        <v>40726</v>
      </c>
      <c r="D67" s="1">
        <v>2248</v>
      </c>
      <c r="E67" s="964">
        <v>418</v>
      </c>
      <c r="F67" s="963">
        <f t="shared" si="3"/>
        <v>190</v>
      </c>
      <c r="G67" s="963">
        <f t="shared" si="3"/>
        <v>80</v>
      </c>
      <c r="I67" s="1"/>
    </row>
    <row r="68" spans="1:9" s="827" customFormat="1" x14ac:dyDescent="0.2">
      <c r="A68"/>
      <c r="B68"/>
      <c r="C68" s="114">
        <v>40757</v>
      </c>
      <c r="D68" s="1">
        <v>2459</v>
      </c>
      <c r="E68" s="964">
        <v>500</v>
      </c>
      <c r="F68" s="963">
        <f t="shared" si="3"/>
        <v>211</v>
      </c>
      <c r="G68" s="963">
        <f t="shared" si="3"/>
        <v>82</v>
      </c>
      <c r="I68" s="1"/>
    </row>
    <row r="69" spans="1:9" s="827" customFormat="1" x14ac:dyDescent="0.2">
      <c r="A69"/>
      <c r="B69"/>
      <c r="C69" s="114">
        <v>40788</v>
      </c>
      <c r="D69" s="1">
        <v>2640</v>
      </c>
      <c r="E69" s="964">
        <v>579</v>
      </c>
      <c r="F69" s="963">
        <f t="shared" si="3"/>
        <v>181</v>
      </c>
      <c r="G69" s="963">
        <f t="shared" si="3"/>
        <v>79</v>
      </c>
      <c r="I69" s="1"/>
    </row>
    <row r="70" spans="1:9" s="827" customFormat="1" x14ac:dyDescent="0.2">
      <c r="A70"/>
      <c r="B70"/>
      <c r="C70" s="114">
        <v>40818</v>
      </c>
      <c r="D70" s="1">
        <v>2852</v>
      </c>
      <c r="E70" s="964">
        <v>670</v>
      </c>
      <c r="F70" s="963">
        <f t="shared" si="3"/>
        <v>212</v>
      </c>
      <c r="G70" s="963">
        <f t="shared" si="3"/>
        <v>91</v>
      </c>
      <c r="I70" s="1"/>
    </row>
    <row r="71" spans="1:9" s="827" customFormat="1" x14ac:dyDescent="0.2">
      <c r="A71"/>
      <c r="B71"/>
      <c r="C71" s="114">
        <v>40849</v>
      </c>
      <c r="D71" s="1">
        <v>3103</v>
      </c>
      <c r="E71" s="964">
        <v>779</v>
      </c>
      <c r="F71" s="963">
        <f t="shared" si="3"/>
        <v>251</v>
      </c>
      <c r="G71" s="963">
        <f t="shared" si="3"/>
        <v>109</v>
      </c>
      <c r="I71" s="1"/>
    </row>
    <row r="72" spans="1:9" s="827" customFormat="1" x14ac:dyDescent="0.2">
      <c r="A72"/>
      <c r="B72"/>
      <c r="C72" s="114">
        <v>40880</v>
      </c>
      <c r="D72" s="1">
        <v>3381</v>
      </c>
      <c r="E72" s="964">
        <v>897</v>
      </c>
      <c r="F72" s="963">
        <f t="shared" si="3"/>
        <v>278</v>
      </c>
      <c r="G72" s="963">
        <f t="shared" si="3"/>
        <v>118</v>
      </c>
      <c r="I72" s="1"/>
    </row>
    <row r="73" spans="1:9" s="827" customFormat="1" x14ac:dyDescent="0.2">
      <c r="A73"/>
      <c r="B73"/>
      <c r="C73" s="114"/>
      <c r="D73" s="1"/>
      <c r="E73" s="824"/>
      <c r="F73" s="965">
        <f>SUM(F61:F72)</f>
        <v>2736</v>
      </c>
      <c r="G73" s="965">
        <f>SUM(G61:G72)</f>
        <v>878</v>
      </c>
      <c r="I73" s="1"/>
    </row>
    <row r="74" spans="1:9" s="1" customFormat="1" x14ac:dyDescent="0.2">
      <c r="A74"/>
      <c r="B74"/>
      <c r="C74" s="114"/>
      <c r="E74" s="824"/>
      <c r="F74" s="825"/>
      <c r="G74" s="826"/>
      <c r="H74" s="827"/>
    </row>
    <row r="75" spans="1:9" s="1" customFormat="1" x14ac:dyDescent="0.2">
      <c r="A75"/>
      <c r="B75"/>
      <c r="C75" s="114">
        <v>40910</v>
      </c>
      <c r="E75" s="824"/>
      <c r="F75" s="825"/>
      <c r="G75" s="826"/>
      <c r="H75" s="827"/>
    </row>
    <row r="76" spans="1:9" s="1" customFormat="1" x14ac:dyDescent="0.2">
      <c r="A76"/>
      <c r="B76"/>
      <c r="C76" s="114">
        <v>40941</v>
      </c>
      <c r="E76" s="824"/>
      <c r="F76" s="825"/>
      <c r="G76" s="826"/>
      <c r="H76" s="827"/>
    </row>
    <row r="77" spans="1:9" s="1" customFormat="1" x14ac:dyDescent="0.2">
      <c r="A77"/>
      <c r="B77"/>
      <c r="C77" s="114">
        <v>40970</v>
      </c>
      <c r="E77" s="824"/>
      <c r="F77" s="825"/>
      <c r="G77" s="826"/>
      <c r="H77" s="827"/>
    </row>
    <row r="78" spans="1:9" s="1" customFormat="1" x14ac:dyDescent="0.2">
      <c r="A78"/>
      <c r="B78"/>
      <c r="C78" s="114">
        <v>41001</v>
      </c>
      <c r="E78" s="824"/>
      <c r="F78" s="825"/>
      <c r="G78" s="826"/>
      <c r="H78" s="827"/>
    </row>
    <row r="79" spans="1:9" s="1" customFormat="1" x14ac:dyDescent="0.2">
      <c r="A79"/>
      <c r="B79"/>
      <c r="C79" s="114">
        <v>41031</v>
      </c>
      <c r="E79" s="824"/>
      <c r="F79" s="825"/>
      <c r="G79" s="826"/>
      <c r="H79" s="827"/>
    </row>
    <row r="80" spans="1:9" s="1" customFormat="1" x14ac:dyDescent="0.2">
      <c r="A80"/>
      <c r="B80"/>
      <c r="C80" s="114">
        <v>41062</v>
      </c>
      <c r="E80" s="824"/>
      <c r="F80" s="825"/>
      <c r="G80" s="826"/>
      <c r="H80" s="827"/>
    </row>
    <row r="81" spans="1:8" s="1" customFormat="1" x14ac:dyDescent="0.2">
      <c r="A81"/>
      <c r="B81"/>
      <c r="C81" s="114">
        <v>41092</v>
      </c>
      <c r="E81" s="824"/>
      <c r="F81" s="825"/>
      <c r="G81" s="826"/>
      <c r="H81" s="827"/>
    </row>
    <row r="82" spans="1:8" s="1" customFormat="1" x14ac:dyDescent="0.2">
      <c r="A82"/>
      <c r="B82"/>
      <c r="C82" s="114">
        <v>41123</v>
      </c>
      <c r="E82" s="824"/>
      <c r="F82" s="825"/>
      <c r="G82" s="826"/>
      <c r="H82" s="827"/>
    </row>
    <row r="83" spans="1:8" s="1" customFormat="1" x14ac:dyDescent="0.2">
      <c r="A83"/>
      <c r="B83"/>
      <c r="C83" s="114">
        <v>41154</v>
      </c>
      <c r="E83" s="824"/>
      <c r="F83" s="825"/>
      <c r="G83" s="826"/>
      <c r="H83" s="827"/>
    </row>
    <row r="84" spans="1:8" s="1" customFormat="1" x14ac:dyDescent="0.2">
      <c r="A84"/>
      <c r="B84"/>
      <c r="C84" s="114">
        <v>41184</v>
      </c>
      <c r="E84" s="824"/>
      <c r="F84" s="825"/>
      <c r="G84" s="826"/>
      <c r="H84" s="827"/>
    </row>
    <row r="85" spans="1:8" s="1" customFormat="1" x14ac:dyDescent="0.2">
      <c r="A85"/>
      <c r="B85"/>
      <c r="C85" s="114">
        <v>41215</v>
      </c>
      <c r="E85" s="824"/>
      <c r="F85" s="825"/>
      <c r="G85" s="826"/>
      <c r="H85" s="827"/>
    </row>
    <row r="86" spans="1:8" s="1" customFormat="1" x14ac:dyDescent="0.2">
      <c r="A86"/>
      <c r="B86"/>
      <c r="C86" s="114">
        <v>41245</v>
      </c>
      <c r="E86" s="824"/>
      <c r="F86" s="825"/>
      <c r="G86" s="826"/>
      <c r="H86" s="827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Munka23">
    <tabColor rgb="FFFF0000"/>
  </sheetPr>
  <dimension ref="A1:I1382"/>
  <sheetViews>
    <sheetView zoomScale="86" zoomScaleNormal="86" workbookViewId="0">
      <selection activeCell="D1121" sqref="D1121"/>
    </sheetView>
  </sheetViews>
  <sheetFormatPr defaultRowHeight="12.75" outlineLevelRow="1" x14ac:dyDescent="0.2"/>
  <cols>
    <col min="1" max="1" width="14.140625" style="804" customWidth="1"/>
    <col min="2" max="2" width="15" style="727" customWidth="1"/>
    <col min="3" max="3" width="31.85546875" style="713" customWidth="1"/>
    <col min="4" max="4" width="73.42578125" style="713" bestFit="1" customWidth="1"/>
    <col min="5" max="5" width="22.85546875" style="713" customWidth="1"/>
    <col min="6" max="6" width="7.140625" style="713" customWidth="1"/>
    <col min="7" max="7" width="16.42578125" style="701" customWidth="1"/>
    <col min="8" max="8" width="18.7109375" style="617" customWidth="1"/>
    <col min="9" max="9" width="13.85546875" style="600" customWidth="1"/>
    <col min="10" max="10" width="15.7109375" style="713" bestFit="1" customWidth="1"/>
    <col min="11" max="16384" width="9.140625" style="713"/>
  </cols>
  <sheetData>
    <row r="1" spans="1:9" s="696" customFormat="1" ht="13.5" thickBot="1" x14ac:dyDescent="0.25">
      <c r="A1" s="800"/>
      <c r="B1" s="695"/>
      <c r="C1" s="696" t="s">
        <v>1343</v>
      </c>
      <c r="D1" s="696" t="s">
        <v>1344</v>
      </c>
      <c r="E1" s="696" t="s">
        <v>1481</v>
      </c>
      <c r="G1" s="697" t="s">
        <v>1341</v>
      </c>
      <c r="H1" s="615"/>
      <c r="I1" s="598"/>
    </row>
    <row r="2" spans="1:9" s="700" customFormat="1" ht="13.5" thickBot="1" x14ac:dyDescent="0.25">
      <c r="A2" s="801"/>
      <c r="B2" s="699"/>
      <c r="G2" s="701"/>
      <c r="H2" s="616"/>
      <c r="I2" s="599"/>
    </row>
    <row r="3" spans="1:9" s="700" customFormat="1" ht="13.5" thickBot="1" x14ac:dyDescent="0.25">
      <c r="A3" s="801"/>
      <c r="B3" s="890">
        <v>2011</v>
      </c>
      <c r="C3" s="891"/>
      <c r="D3" s="891"/>
      <c r="E3" s="891"/>
      <c r="F3" s="891"/>
      <c r="G3" s="892">
        <f>G802</f>
        <v>3589972</v>
      </c>
      <c r="H3" s="616"/>
      <c r="I3" s="599"/>
    </row>
    <row r="4" spans="1:9" s="753" customFormat="1" x14ac:dyDescent="0.2">
      <c r="A4" s="802"/>
      <c r="B4" s="754"/>
      <c r="C4" s="755"/>
      <c r="D4" s="755"/>
      <c r="E4" s="755"/>
      <c r="F4" s="755"/>
      <c r="G4" s="756"/>
      <c r="H4" s="751"/>
      <c r="I4" s="752"/>
    </row>
    <row r="5" spans="1:9" s="753" customFormat="1" x14ac:dyDescent="0.2">
      <c r="A5" s="802"/>
      <c r="B5" s="754"/>
      <c r="C5" s="755"/>
      <c r="D5" s="755"/>
      <c r="E5" s="755" t="s">
        <v>2736</v>
      </c>
      <c r="F5" s="755"/>
      <c r="G5" s="756">
        <f t="shared" ref="G5:G17" si="0">SUMIF($E$21:$E$797,E5,$G$21:$G$800)</f>
        <v>23720</v>
      </c>
      <c r="H5" s="751"/>
      <c r="I5" s="752"/>
    </row>
    <row r="6" spans="1:9" s="753" customFormat="1" ht="13.5" thickBot="1" x14ac:dyDescent="0.25">
      <c r="A6" s="802"/>
      <c r="B6" s="754"/>
      <c r="C6" s="755"/>
      <c r="D6" s="755"/>
      <c r="E6" s="755" t="s">
        <v>2705</v>
      </c>
      <c r="F6" s="755"/>
      <c r="G6" s="756">
        <f t="shared" si="0"/>
        <v>71870</v>
      </c>
      <c r="H6" s="751" t="str">
        <f>"+víz+villany+bizt+net"</f>
        <v>+víz+villany+bizt+net</v>
      </c>
      <c r="I6" s="752"/>
    </row>
    <row r="7" spans="1:9" s="753" customFormat="1" ht="13.5" thickBot="1" x14ac:dyDescent="0.25">
      <c r="A7" s="802"/>
      <c r="B7" s="754"/>
      <c r="C7" s="755"/>
      <c r="D7" s="755"/>
      <c r="E7" s="942" t="s">
        <v>2700</v>
      </c>
      <c r="F7" s="943"/>
      <c r="G7" s="944">
        <f t="shared" si="0"/>
        <v>298848</v>
      </c>
      <c r="H7" s="751"/>
      <c r="I7" s="752"/>
    </row>
    <row r="8" spans="1:9" s="753" customFormat="1" ht="13.5" thickBot="1" x14ac:dyDescent="0.25">
      <c r="A8" s="802"/>
      <c r="B8" s="754"/>
      <c r="C8" s="755"/>
      <c r="D8" s="755"/>
      <c r="E8" s="755" t="s">
        <v>1035</v>
      </c>
      <c r="F8" s="755"/>
      <c r="G8" s="756">
        <f t="shared" si="0"/>
        <v>515610</v>
      </c>
      <c r="H8" s="751"/>
      <c r="I8" s="752"/>
    </row>
    <row r="9" spans="1:9" s="753" customFormat="1" x14ac:dyDescent="0.2">
      <c r="A9" s="802"/>
      <c r="B9" s="754"/>
      <c r="C9" s="755"/>
      <c r="D9" s="755"/>
      <c r="E9" s="932" t="s">
        <v>2707</v>
      </c>
      <c r="F9" s="933"/>
      <c r="G9" s="934">
        <f t="shared" si="0"/>
        <v>694158</v>
      </c>
      <c r="H9" s="751"/>
      <c r="I9" s="752"/>
    </row>
    <row r="10" spans="1:9" s="753" customFormat="1" x14ac:dyDescent="0.2">
      <c r="A10" s="802"/>
      <c r="B10" s="754"/>
      <c r="C10" s="755"/>
      <c r="D10" s="755"/>
      <c r="E10" s="935" t="s">
        <v>2714</v>
      </c>
      <c r="F10" s="936"/>
      <c r="G10" s="937">
        <f t="shared" si="0"/>
        <v>157787</v>
      </c>
      <c r="H10" s="751"/>
      <c r="I10" s="752"/>
    </row>
    <row r="11" spans="1:9" s="753" customFormat="1" x14ac:dyDescent="0.2">
      <c r="A11" s="802"/>
      <c r="B11" s="754"/>
      <c r="C11" s="755"/>
      <c r="D11" s="755"/>
      <c r="E11" s="941" t="s">
        <v>2719</v>
      </c>
      <c r="F11" s="936"/>
      <c r="G11" s="937">
        <f t="shared" si="0"/>
        <v>147395</v>
      </c>
      <c r="H11" s="751"/>
      <c r="I11" s="752"/>
    </row>
    <row r="12" spans="1:9" s="753" customFormat="1" ht="13.5" thickBot="1" x14ac:dyDescent="0.25">
      <c r="A12" s="802"/>
      <c r="B12" s="754"/>
      <c r="C12" s="755"/>
      <c r="D12" s="755"/>
      <c r="E12" s="938" t="s">
        <v>2709</v>
      </c>
      <c r="F12" s="939"/>
      <c r="G12" s="940">
        <f t="shared" si="0"/>
        <v>52277</v>
      </c>
      <c r="H12" s="751"/>
      <c r="I12" s="752"/>
    </row>
    <row r="13" spans="1:9" s="753" customFormat="1" x14ac:dyDescent="0.2">
      <c r="A13" s="802"/>
      <c r="B13" s="754"/>
      <c r="C13" s="755"/>
      <c r="D13" s="755"/>
      <c r="E13" s="783" t="s">
        <v>2724</v>
      </c>
      <c r="F13" s="755"/>
      <c r="G13" s="756">
        <f t="shared" si="0"/>
        <v>7385</v>
      </c>
      <c r="H13" s="751"/>
      <c r="I13" s="752"/>
    </row>
    <row r="14" spans="1:9" s="753" customFormat="1" x14ac:dyDescent="0.2">
      <c r="A14" s="802"/>
      <c r="B14" s="754"/>
      <c r="C14" s="755"/>
      <c r="D14" s="755"/>
      <c r="E14" s="783" t="s">
        <v>2722</v>
      </c>
      <c r="F14" s="755"/>
      <c r="G14" s="756">
        <f t="shared" si="0"/>
        <v>202156</v>
      </c>
      <c r="H14" s="751"/>
      <c r="I14" s="752"/>
    </row>
    <row r="15" spans="1:9" s="753" customFormat="1" x14ac:dyDescent="0.2">
      <c r="A15" s="802"/>
      <c r="B15" s="754"/>
      <c r="C15" s="755"/>
      <c r="D15" s="755"/>
      <c r="E15" s="783" t="s">
        <v>2730</v>
      </c>
      <c r="F15" s="755"/>
      <c r="G15" s="756">
        <f t="shared" si="0"/>
        <v>175395</v>
      </c>
      <c r="H15" s="751"/>
      <c r="I15" s="752"/>
    </row>
    <row r="16" spans="1:9" s="753" customFormat="1" x14ac:dyDescent="0.2">
      <c r="A16" s="802"/>
      <c r="B16" s="754"/>
      <c r="C16" s="755"/>
      <c r="D16" s="755"/>
      <c r="E16" s="783" t="s">
        <v>2750</v>
      </c>
      <c r="F16" s="755"/>
      <c r="G16" s="756">
        <f t="shared" si="0"/>
        <v>1072325</v>
      </c>
      <c r="H16" s="751"/>
      <c r="I16" s="752"/>
    </row>
    <row r="17" spans="1:9" s="753" customFormat="1" x14ac:dyDescent="0.2">
      <c r="A17" s="802"/>
      <c r="B17" s="754"/>
      <c r="C17" s="755"/>
      <c r="D17" s="755"/>
      <c r="E17" s="783" t="s">
        <v>3078</v>
      </c>
      <c r="F17" s="755"/>
      <c r="G17" s="756">
        <f t="shared" si="0"/>
        <v>154275</v>
      </c>
      <c r="H17" s="751"/>
      <c r="I17" s="752"/>
    </row>
    <row r="18" spans="1:9" s="696" customFormat="1" ht="13.5" thickBot="1" x14ac:dyDescent="0.25">
      <c r="A18" s="800"/>
      <c r="B18" s="709"/>
      <c r="C18" s="710"/>
      <c r="D18" s="710"/>
      <c r="E18" s="710"/>
      <c r="F18" s="710"/>
      <c r="G18" s="710"/>
      <c r="H18" s="615"/>
      <c r="I18" s="598"/>
    </row>
    <row r="19" spans="1:9" s="700" customFormat="1" ht="13.5" thickBot="1" x14ac:dyDescent="0.25">
      <c r="A19" s="801"/>
      <c r="B19" s="706" t="s">
        <v>1556</v>
      </c>
      <c r="C19" s="707"/>
      <c r="D19" s="707"/>
      <c r="E19" s="707"/>
      <c r="F19" s="707"/>
      <c r="G19" s="708">
        <f>SUM(G3:G3)</f>
        <v>3589972</v>
      </c>
      <c r="H19" s="616"/>
      <c r="I19" s="599"/>
    </row>
    <row r="20" spans="1:9" s="700" customFormat="1" x14ac:dyDescent="0.2">
      <c r="A20" s="801"/>
      <c r="B20" s="698"/>
      <c r="C20" s="698"/>
      <c r="D20" s="698"/>
      <c r="E20" s="698"/>
      <c r="F20" s="713"/>
      <c r="G20" s="701"/>
      <c r="H20" s="616"/>
      <c r="I20" s="599"/>
    </row>
    <row r="21" spans="1:9" outlineLevel="1" x14ac:dyDescent="0.2">
      <c r="A21" s="803"/>
      <c r="B21" s="712">
        <v>40603</v>
      </c>
      <c r="C21" t="s">
        <v>1656</v>
      </c>
      <c r="D21" t="s">
        <v>2703</v>
      </c>
      <c r="E21" t="s">
        <v>2750</v>
      </c>
      <c r="G21" s="701">
        <v>1010</v>
      </c>
    </row>
    <row r="22" spans="1:9" outlineLevel="1" x14ac:dyDescent="0.2">
      <c r="A22" s="803"/>
      <c r="B22" s="712">
        <v>40603</v>
      </c>
      <c r="C22" t="s">
        <v>2706</v>
      </c>
      <c r="D22" t="s">
        <v>2700</v>
      </c>
      <c r="E22" t="s">
        <v>2700</v>
      </c>
      <c r="G22" s="701">
        <v>10007</v>
      </c>
    </row>
    <row r="23" spans="1:9" outlineLevel="1" x14ac:dyDescent="0.2">
      <c r="A23" s="803"/>
      <c r="B23" s="712">
        <v>40603</v>
      </c>
      <c r="C23" t="s">
        <v>2706</v>
      </c>
      <c r="D23" t="s">
        <v>2700</v>
      </c>
      <c r="E23" t="s">
        <v>2700</v>
      </c>
      <c r="G23" s="701">
        <v>5445</v>
      </c>
    </row>
    <row r="24" spans="1:9" outlineLevel="1" x14ac:dyDescent="0.2">
      <c r="A24" s="803"/>
      <c r="B24" s="712">
        <v>40604</v>
      </c>
      <c r="C24" t="s">
        <v>2708</v>
      </c>
      <c r="D24" t="s">
        <v>2709</v>
      </c>
      <c r="E24" t="s">
        <v>2709</v>
      </c>
      <c r="G24" s="701">
        <v>3276</v>
      </c>
    </row>
    <row r="25" spans="1:9" outlineLevel="1" x14ac:dyDescent="0.2">
      <c r="A25" s="803"/>
      <c r="B25" s="712">
        <v>40604</v>
      </c>
      <c r="C25" t="s">
        <v>2710</v>
      </c>
      <c r="D25" t="s">
        <v>2593</v>
      </c>
      <c r="E25" t="s">
        <v>2705</v>
      </c>
      <c r="G25" s="701">
        <v>21000</v>
      </c>
    </row>
    <row r="26" spans="1:9" outlineLevel="1" x14ac:dyDescent="0.2">
      <c r="A26" s="803"/>
      <c r="B26" s="712">
        <v>40604</v>
      </c>
      <c r="C26" t="s">
        <v>479</v>
      </c>
      <c r="D26" t="s">
        <v>2711</v>
      </c>
      <c r="E26" t="s">
        <v>2707</v>
      </c>
      <c r="G26" s="701">
        <v>898</v>
      </c>
    </row>
    <row r="27" spans="1:9" outlineLevel="1" x14ac:dyDescent="0.2">
      <c r="A27" s="803"/>
      <c r="B27" s="712">
        <v>40605</v>
      </c>
      <c r="C27" t="s">
        <v>367</v>
      </c>
      <c r="D27" t="s">
        <v>2707</v>
      </c>
      <c r="E27" t="s">
        <v>2707</v>
      </c>
      <c r="G27" s="701">
        <v>14401</v>
      </c>
    </row>
    <row r="28" spans="1:9" outlineLevel="1" x14ac:dyDescent="0.2">
      <c r="A28" s="803"/>
      <c r="B28" s="712">
        <v>40605</v>
      </c>
      <c r="C28" t="s">
        <v>2712</v>
      </c>
      <c r="D28" t="s">
        <v>2713</v>
      </c>
      <c r="E28" t="s">
        <v>2714</v>
      </c>
      <c r="G28" s="701">
        <v>1730</v>
      </c>
    </row>
    <row r="29" spans="1:9" outlineLevel="1" x14ac:dyDescent="0.2">
      <c r="A29" s="803"/>
      <c r="B29" s="712">
        <v>40606</v>
      </c>
      <c r="C29" t="s">
        <v>2717</v>
      </c>
      <c r="D29" t="s">
        <v>2718</v>
      </c>
      <c r="E29" t="s">
        <v>2719</v>
      </c>
      <c r="G29" s="701">
        <v>7760</v>
      </c>
    </row>
    <row r="30" spans="1:9" outlineLevel="1" x14ac:dyDescent="0.2">
      <c r="A30" s="803"/>
      <c r="B30" s="712">
        <v>40606</v>
      </c>
      <c r="C30" t="s">
        <v>2720</v>
      </c>
      <c r="D30" t="s">
        <v>2721</v>
      </c>
      <c r="E30" t="s">
        <v>2722</v>
      </c>
      <c r="G30" s="701">
        <v>15580</v>
      </c>
    </row>
    <row r="31" spans="1:9" outlineLevel="1" x14ac:dyDescent="0.2">
      <c r="A31" s="803"/>
      <c r="B31" s="712">
        <v>40606</v>
      </c>
      <c r="C31" t="s">
        <v>2720</v>
      </c>
      <c r="D31" t="s">
        <v>2725</v>
      </c>
      <c r="E31" t="s">
        <v>2707</v>
      </c>
      <c r="G31" s="701">
        <v>300</v>
      </c>
    </row>
    <row r="32" spans="1:9" outlineLevel="1" x14ac:dyDescent="0.2">
      <c r="A32" s="803"/>
      <c r="B32" s="712">
        <v>40606</v>
      </c>
      <c r="C32" t="s">
        <v>2704</v>
      </c>
      <c r="D32" t="s">
        <v>2726</v>
      </c>
      <c r="E32" s="713" t="s">
        <v>2724</v>
      </c>
      <c r="G32" s="701">
        <v>400</v>
      </c>
    </row>
    <row r="33" spans="1:7" outlineLevel="1" x14ac:dyDescent="0.2">
      <c r="A33" s="803"/>
      <c r="B33" s="712">
        <v>40606</v>
      </c>
      <c r="C33" t="s">
        <v>2708</v>
      </c>
      <c r="D33" s="713" t="s">
        <v>2709</v>
      </c>
      <c r="E33" s="713" t="s">
        <v>2709</v>
      </c>
      <c r="G33" s="701">
        <v>500</v>
      </c>
    </row>
    <row r="34" spans="1:7" outlineLevel="1" x14ac:dyDescent="0.2">
      <c r="A34" s="803"/>
      <c r="B34" s="712">
        <v>40607</v>
      </c>
    </row>
    <row r="35" spans="1:7" outlineLevel="1" x14ac:dyDescent="0.2">
      <c r="A35" s="803"/>
      <c r="B35" s="712">
        <v>40608</v>
      </c>
    </row>
    <row r="36" spans="1:7" outlineLevel="1" x14ac:dyDescent="0.2">
      <c r="A36" s="803"/>
      <c r="B36" s="712">
        <v>40609</v>
      </c>
      <c r="C36" t="s">
        <v>2712</v>
      </c>
      <c r="D36" t="s">
        <v>2713</v>
      </c>
      <c r="E36" t="s">
        <v>2714</v>
      </c>
      <c r="G36" s="701">
        <v>1760</v>
      </c>
    </row>
    <row r="37" spans="1:7" outlineLevel="1" x14ac:dyDescent="0.2">
      <c r="A37" s="803"/>
      <c r="B37" s="712">
        <v>40609</v>
      </c>
      <c r="C37" t="s">
        <v>2732</v>
      </c>
      <c r="D37" t="s">
        <v>2731</v>
      </c>
      <c r="E37" t="s">
        <v>2730</v>
      </c>
      <c r="G37" s="701">
        <v>1200</v>
      </c>
    </row>
    <row r="38" spans="1:7" outlineLevel="1" x14ac:dyDescent="0.2">
      <c r="A38" s="803"/>
      <c r="B38" s="712">
        <v>40610</v>
      </c>
      <c r="C38" t="s">
        <v>2712</v>
      </c>
      <c r="D38" t="s">
        <v>2728</v>
      </c>
      <c r="E38" t="s">
        <v>2707</v>
      </c>
      <c r="G38" s="701">
        <v>350</v>
      </c>
    </row>
    <row r="39" spans="1:7" outlineLevel="1" x14ac:dyDescent="0.2">
      <c r="A39" s="803"/>
      <c r="B39" s="712">
        <v>40610</v>
      </c>
      <c r="C39" t="s">
        <v>2732</v>
      </c>
      <c r="D39" t="s">
        <v>2729</v>
      </c>
      <c r="E39" t="s">
        <v>2730</v>
      </c>
      <c r="G39" s="701">
        <v>1200</v>
      </c>
    </row>
    <row r="40" spans="1:7" outlineLevel="1" x14ac:dyDescent="0.2">
      <c r="A40" s="803"/>
      <c r="B40" s="712">
        <v>40611</v>
      </c>
      <c r="C40" t="s">
        <v>367</v>
      </c>
      <c r="D40" t="s">
        <v>2727</v>
      </c>
      <c r="E40" t="s">
        <v>2707</v>
      </c>
      <c r="G40" s="701">
        <v>990</v>
      </c>
    </row>
    <row r="41" spans="1:7" outlineLevel="1" x14ac:dyDescent="0.2">
      <c r="A41" s="803"/>
      <c r="B41" s="712">
        <v>40611</v>
      </c>
      <c r="C41" t="s">
        <v>367</v>
      </c>
      <c r="D41" t="s">
        <v>2707</v>
      </c>
      <c r="E41" t="s">
        <v>2707</v>
      </c>
      <c r="G41" s="701">
        <v>4095</v>
      </c>
    </row>
    <row r="42" spans="1:7" outlineLevel="1" x14ac:dyDescent="0.2">
      <c r="A42" s="803"/>
      <c r="B42" s="712">
        <v>40611</v>
      </c>
      <c r="C42" t="s">
        <v>2739</v>
      </c>
      <c r="D42" t="s">
        <v>2740</v>
      </c>
      <c r="E42" t="s">
        <v>2730</v>
      </c>
      <c r="G42" s="701">
        <v>1200</v>
      </c>
    </row>
    <row r="43" spans="1:7" outlineLevel="1" x14ac:dyDescent="0.2">
      <c r="A43" s="803"/>
      <c r="B43" s="712">
        <v>40611</v>
      </c>
      <c r="C43" t="s">
        <v>2733</v>
      </c>
      <c r="D43" t="s">
        <v>2734</v>
      </c>
      <c r="E43" t="s">
        <v>2707</v>
      </c>
      <c r="G43" s="701">
        <v>360</v>
      </c>
    </row>
    <row r="44" spans="1:7" outlineLevel="1" x14ac:dyDescent="0.2">
      <c r="A44" s="803"/>
      <c r="B44" s="712">
        <v>40611</v>
      </c>
      <c r="C44" t="s">
        <v>367</v>
      </c>
      <c r="D44" t="s">
        <v>2735</v>
      </c>
      <c r="E44" t="s">
        <v>1035</v>
      </c>
      <c r="G44" s="701">
        <v>2000</v>
      </c>
    </row>
    <row r="45" spans="1:7" outlineLevel="1" x14ac:dyDescent="0.2">
      <c r="A45" s="803"/>
      <c r="B45" s="712">
        <v>40612</v>
      </c>
      <c r="D45"/>
    </row>
    <row r="46" spans="1:7" outlineLevel="1" x14ac:dyDescent="0.2">
      <c r="A46" s="803"/>
      <c r="B46" s="712">
        <v>40613</v>
      </c>
      <c r="C46" s="713" t="s">
        <v>367</v>
      </c>
      <c r="D46" t="s">
        <v>2707</v>
      </c>
      <c r="E46" s="713" t="s">
        <v>2707</v>
      </c>
      <c r="G46" s="701">
        <v>1686</v>
      </c>
    </row>
    <row r="47" spans="1:7" outlineLevel="1" x14ac:dyDescent="0.2">
      <c r="A47" s="803"/>
      <c r="B47" s="712">
        <v>40613</v>
      </c>
      <c r="C47" s="713" t="s">
        <v>2712</v>
      </c>
      <c r="D47" t="s">
        <v>2713</v>
      </c>
      <c r="E47" s="713" t="s">
        <v>2714</v>
      </c>
      <c r="G47" s="701">
        <v>675</v>
      </c>
    </row>
    <row r="48" spans="1:7" outlineLevel="1" x14ac:dyDescent="0.2">
      <c r="A48" s="803"/>
      <c r="B48" s="712">
        <v>40613</v>
      </c>
      <c r="C48" s="713" t="s">
        <v>2706</v>
      </c>
      <c r="D48" t="s">
        <v>2700</v>
      </c>
      <c r="E48" s="713" t="s">
        <v>2700</v>
      </c>
      <c r="G48" s="701">
        <v>7326</v>
      </c>
    </row>
    <row r="49" spans="1:7" outlineLevel="1" x14ac:dyDescent="0.2">
      <c r="A49" s="803"/>
      <c r="B49" s="712">
        <v>40613</v>
      </c>
      <c r="C49" s="713" t="s">
        <v>2737</v>
      </c>
      <c r="D49" t="s">
        <v>2738</v>
      </c>
      <c r="E49" s="713" t="s">
        <v>2736</v>
      </c>
      <c r="G49" s="701">
        <v>1650</v>
      </c>
    </row>
    <row r="50" spans="1:7" outlineLevel="1" x14ac:dyDescent="0.2">
      <c r="A50" s="803"/>
      <c r="B50" s="712">
        <v>40614</v>
      </c>
      <c r="C50" s="713" t="s">
        <v>2741</v>
      </c>
      <c r="D50"/>
      <c r="E50" s="713" t="s">
        <v>2730</v>
      </c>
      <c r="G50" s="701">
        <v>4000</v>
      </c>
    </row>
    <row r="51" spans="1:7" outlineLevel="1" x14ac:dyDescent="0.2">
      <c r="A51" s="803"/>
      <c r="B51" s="712">
        <v>40614</v>
      </c>
      <c r="C51" s="713" t="s">
        <v>2742</v>
      </c>
      <c r="D51"/>
      <c r="E51" s="713" t="s">
        <v>2730</v>
      </c>
      <c r="G51" s="701">
        <v>5000</v>
      </c>
    </row>
    <row r="52" spans="1:7" outlineLevel="1" x14ac:dyDescent="0.2">
      <c r="A52" s="803"/>
      <c r="B52" s="712">
        <v>40614</v>
      </c>
      <c r="C52" s="713" t="s">
        <v>2743</v>
      </c>
      <c r="D52"/>
      <c r="E52" s="713" t="s">
        <v>2730</v>
      </c>
      <c r="G52" s="701">
        <v>2800</v>
      </c>
    </row>
    <row r="53" spans="1:7" outlineLevel="1" x14ac:dyDescent="0.2">
      <c r="A53" s="803"/>
      <c r="B53" s="712">
        <v>40614</v>
      </c>
      <c r="C53" t="s">
        <v>2745</v>
      </c>
      <c r="D53" t="s">
        <v>2744</v>
      </c>
      <c r="E53" s="713" t="s">
        <v>2730</v>
      </c>
      <c r="G53" s="701">
        <v>4700</v>
      </c>
    </row>
    <row r="54" spans="1:7" outlineLevel="1" x14ac:dyDescent="0.2">
      <c r="A54" s="803"/>
      <c r="B54" s="712">
        <v>40614</v>
      </c>
      <c r="C54" s="713" t="s">
        <v>2745</v>
      </c>
      <c r="D54" t="s">
        <v>2746</v>
      </c>
      <c r="E54" s="713" t="s">
        <v>2722</v>
      </c>
      <c r="G54" s="701">
        <v>1550</v>
      </c>
    </row>
    <row r="55" spans="1:7" outlineLevel="1" x14ac:dyDescent="0.2">
      <c r="A55" s="803"/>
      <c r="B55" s="712">
        <v>40614</v>
      </c>
      <c r="C55" s="713" t="s">
        <v>2745</v>
      </c>
      <c r="D55" t="s">
        <v>2747</v>
      </c>
      <c r="E55" s="713" t="s">
        <v>2730</v>
      </c>
      <c r="G55" s="701">
        <v>3000</v>
      </c>
    </row>
    <row r="56" spans="1:7" outlineLevel="1" x14ac:dyDescent="0.2">
      <c r="A56" s="803"/>
      <c r="B56" s="712">
        <v>40615</v>
      </c>
      <c r="D56"/>
    </row>
    <row r="57" spans="1:7" outlineLevel="1" x14ac:dyDescent="0.2">
      <c r="A57" s="803"/>
      <c r="B57" s="712">
        <v>40616</v>
      </c>
      <c r="D57"/>
    </row>
    <row r="58" spans="1:7" outlineLevel="1" x14ac:dyDescent="0.2">
      <c r="A58" s="803"/>
      <c r="B58" s="712">
        <v>40617</v>
      </c>
      <c r="D58"/>
    </row>
    <row r="59" spans="1:7" outlineLevel="1" x14ac:dyDescent="0.2">
      <c r="A59" s="803"/>
      <c r="B59" s="712">
        <v>40618</v>
      </c>
      <c r="C59" s="713" t="s">
        <v>367</v>
      </c>
      <c r="D59" t="s">
        <v>2707</v>
      </c>
      <c r="E59" s="713" t="s">
        <v>2707</v>
      </c>
      <c r="G59" s="701">
        <v>12715</v>
      </c>
    </row>
    <row r="60" spans="1:7" outlineLevel="1" x14ac:dyDescent="0.2">
      <c r="A60" s="803"/>
      <c r="B60" s="712">
        <v>40618</v>
      </c>
      <c r="C60" s="713" t="s">
        <v>2712</v>
      </c>
      <c r="D60" t="s">
        <v>2713</v>
      </c>
      <c r="E60" s="713" t="s">
        <v>2714</v>
      </c>
      <c r="G60" s="701">
        <v>1600</v>
      </c>
    </row>
    <row r="61" spans="1:7" outlineLevel="1" x14ac:dyDescent="0.2">
      <c r="A61" s="803"/>
      <c r="B61" s="712">
        <v>40618</v>
      </c>
      <c r="C61" s="713" t="s">
        <v>2712</v>
      </c>
      <c r="D61" t="s">
        <v>2748</v>
      </c>
      <c r="E61" s="713" t="s">
        <v>2730</v>
      </c>
      <c r="G61" s="701">
        <v>600</v>
      </c>
    </row>
    <row r="62" spans="1:7" outlineLevel="1" x14ac:dyDescent="0.2">
      <c r="A62" s="803"/>
      <c r="B62" s="712">
        <v>40619</v>
      </c>
      <c r="C62" t="s">
        <v>2708</v>
      </c>
      <c r="D62" s="713" t="s">
        <v>2709</v>
      </c>
      <c r="E62" s="713" t="s">
        <v>2709</v>
      </c>
      <c r="G62" s="701">
        <v>1500</v>
      </c>
    </row>
    <row r="63" spans="1:7" outlineLevel="1" x14ac:dyDescent="0.2">
      <c r="A63" s="803"/>
      <c r="B63" s="712">
        <v>40620</v>
      </c>
      <c r="C63" t="s">
        <v>43</v>
      </c>
      <c r="D63" s="713" t="s">
        <v>2749</v>
      </c>
      <c r="E63" t="s">
        <v>2750</v>
      </c>
      <c r="G63" s="701">
        <v>6515</v>
      </c>
    </row>
    <row r="64" spans="1:7" outlineLevel="1" x14ac:dyDescent="0.2">
      <c r="A64" s="803"/>
      <c r="B64" s="712">
        <v>40620</v>
      </c>
      <c r="C64" s="713" t="s">
        <v>367</v>
      </c>
      <c r="D64" t="s">
        <v>2707</v>
      </c>
      <c r="E64" s="713" t="s">
        <v>2707</v>
      </c>
      <c r="G64" s="701">
        <v>1364</v>
      </c>
    </row>
    <row r="65" spans="1:7" outlineLevel="1" x14ac:dyDescent="0.2">
      <c r="A65" s="803"/>
      <c r="B65" s="712">
        <v>40620</v>
      </c>
      <c r="C65" t="s">
        <v>2246</v>
      </c>
      <c r="D65" t="s">
        <v>2751</v>
      </c>
      <c r="E65" t="s">
        <v>2750</v>
      </c>
      <c r="G65" s="701">
        <v>3169</v>
      </c>
    </row>
    <row r="66" spans="1:7" outlineLevel="1" x14ac:dyDescent="0.2">
      <c r="A66" s="803"/>
      <c r="B66" s="712">
        <v>40621</v>
      </c>
      <c r="D66"/>
    </row>
    <row r="67" spans="1:7" outlineLevel="1" x14ac:dyDescent="0.2">
      <c r="A67" s="803"/>
      <c r="B67" s="712">
        <v>40622</v>
      </c>
      <c r="D67"/>
    </row>
    <row r="68" spans="1:7" outlineLevel="1" x14ac:dyDescent="0.2">
      <c r="A68" s="803"/>
      <c r="B68" s="712">
        <v>40623</v>
      </c>
      <c r="C68" s="713" t="s">
        <v>2712</v>
      </c>
      <c r="D68" t="s">
        <v>2713</v>
      </c>
      <c r="E68" s="713" t="s">
        <v>2714</v>
      </c>
      <c r="G68" s="701">
        <v>2380</v>
      </c>
    </row>
    <row r="69" spans="1:7" outlineLevel="1" x14ac:dyDescent="0.2">
      <c r="A69" s="803"/>
      <c r="B69" s="712">
        <v>40623</v>
      </c>
      <c r="C69" s="713" t="s">
        <v>1700</v>
      </c>
      <c r="D69" t="s">
        <v>2752</v>
      </c>
      <c r="E69" s="713" t="s">
        <v>2750</v>
      </c>
      <c r="G69" s="701">
        <v>3400</v>
      </c>
    </row>
    <row r="70" spans="1:7" outlineLevel="1" x14ac:dyDescent="0.2">
      <c r="A70" s="803"/>
      <c r="B70" s="712">
        <v>40623</v>
      </c>
      <c r="C70" s="713" t="s">
        <v>367</v>
      </c>
      <c r="D70" t="s">
        <v>2707</v>
      </c>
      <c r="E70" s="713" t="s">
        <v>2707</v>
      </c>
      <c r="G70" s="701">
        <v>8697</v>
      </c>
    </row>
    <row r="71" spans="1:7" outlineLevel="1" x14ac:dyDescent="0.2">
      <c r="A71" s="803"/>
      <c r="B71" s="712">
        <v>40623</v>
      </c>
      <c r="C71" s="713" t="s">
        <v>479</v>
      </c>
      <c r="D71" t="s">
        <v>2753</v>
      </c>
      <c r="E71" s="713" t="s">
        <v>2719</v>
      </c>
      <c r="G71" s="701">
        <v>13169</v>
      </c>
    </row>
    <row r="72" spans="1:7" outlineLevel="1" x14ac:dyDescent="0.2">
      <c r="A72" s="803"/>
      <c r="B72" s="712">
        <v>40623</v>
      </c>
      <c r="D72" t="s">
        <v>2761</v>
      </c>
      <c r="E72" t="s">
        <v>1035</v>
      </c>
      <c r="G72" s="701">
        <v>1400</v>
      </c>
    </row>
    <row r="73" spans="1:7" outlineLevel="1" x14ac:dyDescent="0.2">
      <c r="A73" s="803"/>
      <c r="B73" s="712">
        <v>40624</v>
      </c>
      <c r="C73" s="713" t="s">
        <v>2706</v>
      </c>
      <c r="D73" t="s">
        <v>2700</v>
      </c>
      <c r="E73" s="713" t="s">
        <v>2700</v>
      </c>
      <c r="G73" s="701">
        <v>10000</v>
      </c>
    </row>
    <row r="74" spans="1:7" outlineLevel="1" x14ac:dyDescent="0.2">
      <c r="A74" s="803"/>
      <c r="B74" s="712">
        <v>40624</v>
      </c>
      <c r="C74" t="s">
        <v>2754</v>
      </c>
      <c r="D74" t="s">
        <v>2755</v>
      </c>
      <c r="E74" s="713" t="s">
        <v>2750</v>
      </c>
      <c r="G74" s="701">
        <v>3300</v>
      </c>
    </row>
    <row r="75" spans="1:7" outlineLevel="1" x14ac:dyDescent="0.2">
      <c r="A75" s="803"/>
      <c r="B75" s="712">
        <v>40624</v>
      </c>
      <c r="C75" t="s">
        <v>2757</v>
      </c>
      <c r="D75" t="s">
        <v>2756</v>
      </c>
      <c r="E75" t="s">
        <v>2730</v>
      </c>
      <c r="G75" s="701">
        <v>3600</v>
      </c>
    </row>
    <row r="76" spans="1:7" outlineLevel="1" x14ac:dyDescent="0.2">
      <c r="A76" s="803"/>
      <c r="B76" s="712">
        <v>40625</v>
      </c>
      <c r="C76" t="s">
        <v>2229</v>
      </c>
      <c r="D76" t="s">
        <v>2707</v>
      </c>
      <c r="E76" s="713" t="s">
        <v>2707</v>
      </c>
      <c r="G76" s="701">
        <v>1213</v>
      </c>
    </row>
    <row r="77" spans="1:7" outlineLevel="1" x14ac:dyDescent="0.2">
      <c r="A77" s="803"/>
      <c r="B77" s="712">
        <v>40626</v>
      </c>
      <c r="C77" t="s">
        <v>2708</v>
      </c>
      <c r="D77" s="713" t="s">
        <v>2709</v>
      </c>
      <c r="E77" s="713" t="s">
        <v>2709</v>
      </c>
      <c r="G77" s="701">
        <v>414</v>
      </c>
    </row>
    <row r="78" spans="1:7" outlineLevel="1" x14ac:dyDescent="0.2">
      <c r="A78" s="803"/>
      <c r="B78" s="712">
        <v>40626</v>
      </c>
      <c r="C78" t="s">
        <v>2758</v>
      </c>
      <c r="D78" s="713" t="s">
        <v>2759</v>
      </c>
      <c r="E78" s="713" t="s">
        <v>2707</v>
      </c>
      <c r="G78" s="701">
        <v>4170</v>
      </c>
    </row>
    <row r="79" spans="1:7" outlineLevel="1" x14ac:dyDescent="0.2">
      <c r="A79" s="803"/>
      <c r="B79" s="712">
        <v>40626</v>
      </c>
      <c r="C79" t="s">
        <v>103</v>
      </c>
      <c r="D79" s="713" t="s">
        <v>2760</v>
      </c>
      <c r="E79" s="713" t="s">
        <v>2750</v>
      </c>
      <c r="G79" s="701">
        <v>615</v>
      </c>
    </row>
    <row r="80" spans="1:7" outlineLevel="1" x14ac:dyDescent="0.2">
      <c r="A80" s="803"/>
      <c r="B80" s="712">
        <v>40626</v>
      </c>
      <c r="C80" t="s">
        <v>2704</v>
      </c>
      <c r="D80" s="713" t="s">
        <v>2726</v>
      </c>
      <c r="E80" s="713" t="s">
        <v>2724</v>
      </c>
      <c r="G80" s="701">
        <v>210</v>
      </c>
    </row>
    <row r="81" spans="1:7" outlineLevel="1" x14ac:dyDescent="0.2">
      <c r="A81" s="803"/>
      <c r="B81" s="712">
        <v>40627</v>
      </c>
      <c r="C81" s="713" t="s">
        <v>367</v>
      </c>
      <c r="D81" t="s">
        <v>2707</v>
      </c>
      <c r="E81" s="713" t="s">
        <v>2707</v>
      </c>
      <c r="G81" s="701">
        <v>12174</v>
      </c>
    </row>
    <row r="82" spans="1:7" outlineLevel="1" x14ac:dyDescent="0.2">
      <c r="A82" s="803"/>
      <c r="B82" s="712">
        <v>40627</v>
      </c>
      <c r="C82" t="s">
        <v>43</v>
      </c>
      <c r="D82" t="s">
        <v>2762</v>
      </c>
      <c r="E82" t="s">
        <v>2750</v>
      </c>
      <c r="G82" s="701">
        <v>-2330</v>
      </c>
    </row>
    <row r="83" spans="1:7" outlineLevel="1" x14ac:dyDescent="0.2">
      <c r="A83" s="803"/>
      <c r="B83" s="712">
        <v>40627</v>
      </c>
      <c r="C83" s="713" t="s">
        <v>2712</v>
      </c>
      <c r="D83" t="s">
        <v>2713</v>
      </c>
      <c r="E83" s="713" t="s">
        <v>2714</v>
      </c>
      <c r="G83" s="701">
        <v>2380</v>
      </c>
    </row>
    <row r="84" spans="1:7" outlineLevel="1" x14ac:dyDescent="0.2">
      <c r="A84" s="803"/>
      <c r="B84" s="712">
        <v>40627</v>
      </c>
      <c r="C84" t="s">
        <v>2764</v>
      </c>
      <c r="D84" t="s">
        <v>2763</v>
      </c>
      <c r="E84" s="713" t="s">
        <v>2707</v>
      </c>
      <c r="G84" s="701">
        <v>2500</v>
      </c>
    </row>
    <row r="85" spans="1:7" outlineLevel="1" x14ac:dyDescent="0.2">
      <c r="A85" s="803"/>
      <c r="B85" s="712">
        <v>40628</v>
      </c>
      <c r="C85" s="713" t="s">
        <v>367</v>
      </c>
      <c r="D85" t="s">
        <v>2707</v>
      </c>
      <c r="E85" s="713" t="s">
        <v>2707</v>
      </c>
      <c r="G85" s="701">
        <v>1150</v>
      </c>
    </row>
    <row r="86" spans="1:7" outlineLevel="1" x14ac:dyDescent="0.2">
      <c r="A86" s="803"/>
      <c r="B86" s="712">
        <v>40628</v>
      </c>
      <c r="C86"/>
      <c r="D86" t="s">
        <v>2765</v>
      </c>
      <c r="E86" t="s">
        <v>2730</v>
      </c>
      <c r="G86" s="701">
        <v>1000</v>
      </c>
    </row>
    <row r="87" spans="1:7" outlineLevel="1" x14ac:dyDescent="0.2">
      <c r="A87" s="803"/>
      <c r="B87" s="712">
        <v>40629</v>
      </c>
      <c r="D87" t="s">
        <v>2765</v>
      </c>
      <c r="E87" t="s">
        <v>2730</v>
      </c>
      <c r="G87" s="701">
        <v>1000</v>
      </c>
    </row>
    <row r="88" spans="1:7" outlineLevel="1" x14ac:dyDescent="0.2">
      <c r="A88" s="803"/>
      <c r="B88" s="712">
        <v>40629</v>
      </c>
      <c r="C88" t="s">
        <v>1960</v>
      </c>
      <c r="D88" t="s">
        <v>2766</v>
      </c>
      <c r="E88" t="s">
        <v>2750</v>
      </c>
      <c r="G88" s="701">
        <v>9271</v>
      </c>
    </row>
    <row r="89" spans="1:7" outlineLevel="1" x14ac:dyDescent="0.2">
      <c r="A89" s="803"/>
      <c r="B89" s="712">
        <v>40630</v>
      </c>
      <c r="C89" t="s">
        <v>2732</v>
      </c>
      <c r="D89" t="s">
        <v>2769</v>
      </c>
      <c r="E89" t="s">
        <v>2730</v>
      </c>
      <c r="G89" s="896">
        <v>4500</v>
      </c>
    </row>
    <row r="90" spans="1:7" outlineLevel="1" x14ac:dyDescent="0.2">
      <c r="A90" s="803"/>
      <c r="B90" s="712">
        <v>40630</v>
      </c>
      <c r="C90" t="s">
        <v>2708</v>
      </c>
      <c r="D90" s="713" t="s">
        <v>2709</v>
      </c>
      <c r="E90" s="713" t="s">
        <v>2709</v>
      </c>
      <c r="G90" s="701">
        <v>500</v>
      </c>
    </row>
    <row r="91" spans="1:7" outlineLevel="1" x14ac:dyDescent="0.2">
      <c r="A91" s="803"/>
      <c r="B91" s="712">
        <v>40631</v>
      </c>
      <c r="C91"/>
      <c r="D91"/>
      <c r="E91"/>
    </row>
    <row r="92" spans="1:7" outlineLevel="1" x14ac:dyDescent="0.2">
      <c r="A92" s="803"/>
      <c r="B92" s="712">
        <v>40632</v>
      </c>
      <c r="C92" t="s">
        <v>2770</v>
      </c>
      <c r="D92" t="s">
        <v>2771</v>
      </c>
      <c r="E92" s="713" t="s">
        <v>2722</v>
      </c>
      <c r="G92" s="701">
        <v>1500</v>
      </c>
    </row>
    <row r="93" spans="1:7" outlineLevel="1" x14ac:dyDescent="0.2">
      <c r="A93" s="803"/>
      <c r="B93" s="712">
        <v>40633</v>
      </c>
      <c r="C93" t="s">
        <v>2732</v>
      </c>
      <c r="D93" t="s">
        <v>2772</v>
      </c>
      <c r="E93" t="s">
        <v>2730</v>
      </c>
      <c r="G93" s="896">
        <v>1000</v>
      </c>
    </row>
    <row r="94" spans="1:7" outlineLevel="1" x14ac:dyDescent="0.2">
      <c r="A94" s="803"/>
      <c r="B94" s="712">
        <v>40633</v>
      </c>
      <c r="C94" t="s">
        <v>2773</v>
      </c>
      <c r="D94" t="s">
        <v>2774</v>
      </c>
      <c r="E94" t="s">
        <v>1035</v>
      </c>
      <c r="G94" s="701">
        <v>1300</v>
      </c>
    </row>
    <row r="95" spans="1:7" outlineLevel="1" x14ac:dyDescent="0.2">
      <c r="A95" s="803"/>
      <c r="B95" s="712">
        <v>40634</v>
      </c>
      <c r="C95" s="713" t="s">
        <v>367</v>
      </c>
      <c r="D95" t="s">
        <v>2707</v>
      </c>
      <c r="E95" s="713" t="s">
        <v>2707</v>
      </c>
      <c r="G95" s="701">
        <v>450</v>
      </c>
    </row>
    <row r="96" spans="1:7" outlineLevel="1" x14ac:dyDescent="0.2">
      <c r="A96" s="803"/>
      <c r="B96" s="712">
        <v>40635</v>
      </c>
      <c r="C96" s="713" t="s">
        <v>2712</v>
      </c>
      <c r="D96" t="s">
        <v>2713</v>
      </c>
      <c r="E96" s="713" t="s">
        <v>2714</v>
      </c>
      <c r="G96" s="701">
        <v>3585</v>
      </c>
    </row>
    <row r="97" spans="1:8" outlineLevel="1" x14ac:dyDescent="0.2">
      <c r="A97" s="803"/>
      <c r="B97" s="712">
        <v>40635</v>
      </c>
      <c r="C97" t="s">
        <v>2775</v>
      </c>
      <c r="D97" t="s">
        <v>2776</v>
      </c>
      <c r="E97" t="s">
        <v>2736</v>
      </c>
      <c r="G97" s="701">
        <v>15000</v>
      </c>
    </row>
    <row r="98" spans="1:8" outlineLevel="1" x14ac:dyDescent="0.2">
      <c r="A98" s="803"/>
      <c r="B98" s="712">
        <v>40635</v>
      </c>
      <c r="C98" s="713" t="s">
        <v>367</v>
      </c>
      <c r="D98" t="s">
        <v>2707</v>
      </c>
      <c r="E98" s="713" t="s">
        <v>2707</v>
      </c>
      <c r="G98" s="701">
        <v>6745</v>
      </c>
    </row>
    <row r="99" spans="1:8" outlineLevel="1" x14ac:dyDescent="0.2">
      <c r="A99" s="803"/>
      <c r="B99" s="712">
        <v>40636</v>
      </c>
      <c r="C99" s="713" t="s">
        <v>2706</v>
      </c>
      <c r="D99" t="s">
        <v>2700</v>
      </c>
      <c r="E99" s="713" t="s">
        <v>2700</v>
      </c>
      <c r="G99" s="701">
        <v>10000</v>
      </c>
    </row>
    <row r="100" spans="1:8" outlineLevel="1" x14ac:dyDescent="0.2">
      <c r="A100" s="803"/>
      <c r="B100" s="712">
        <v>40636</v>
      </c>
      <c r="C100" s="713" t="s">
        <v>2778</v>
      </c>
      <c r="D100" t="s">
        <v>1545</v>
      </c>
      <c r="E100" s="713" t="s">
        <v>2705</v>
      </c>
      <c r="G100" s="701">
        <v>8620</v>
      </c>
      <c r="H100" s="617" t="s">
        <v>2777</v>
      </c>
    </row>
    <row r="101" spans="1:8" outlineLevel="1" x14ac:dyDescent="0.2">
      <c r="A101" s="803"/>
      <c r="B101" s="712">
        <v>40637</v>
      </c>
      <c r="D101"/>
    </row>
    <row r="102" spans="1:8" outlineLevel="1" x14ac:dyDescent="0.2">
      <c r="A102" s="803"/>
      <c r="B102" s="712">
        <v>40638</v>
      </c>
      <c r="C102" t="s">
        <v>2773</v>
      </c>
      <c r="D102" t="s">
        <v>2774</v>
      </c>
      <c r="E102" t="s">
        <v>1035</v>
      </c>
      <c r="G102" s="701">
        <v>2600</v>
      </c>
    </row>
    <row r="103" spans="1:8" outlineLevel="1" x14ac:dyDescent="0.2">
      <c r="A103" s="803"/>
      <c r="B103" s="712">
        <v>40639</v>
      </c>
      <c r="D103"/>
    </row>
    <row r="104" spans="1:8" outlineLevel="1" x14ac:dyDescent="0.2">
      <c r="A104" s="803"/>
      <c r="B104" s="712">
        <v>40640</v>
      </c>
      <c r="D104"/>
    </row>
    <row r="105" spans="1:8" outlineLevel="1" x14ac:dyDescent="0.2">
      <c r="A105" s="803"/>
      <c r="B105" s="712">
        <v>40641</v>
      </c>
      <c r="C105" t="s">
        <v>2779</v>
      </c>
      <c r="D105" t="s">
        <v>2780</v>
      </c>
      <c r="E105" t="s">
        <v>1035</v>
      </c>
      <c r="G105" s="701">
        <v>3615</v>
      </c>
    </row>
    <row r="106" spans="1:8" outlineLevel="1" x14ac:dyDescent="0.2">
      <c r="A106" s="803"/>
      <c r="B106" s="712">
        <v>40641</v>
      </c>
      <c r="C106" t="s">
        <v>2781</v>
      </c>
      <c r="D106" t="s">
        <v>2782</v>
      </c>
      <c r="E106" t="s">
        <v>1035</v>
      </c>
      <c r="G106" s="701">
        <v>320</v>
      </c>
    </row>
    <row r="107" spans="1:8" outlineLevel="1" x14ac:dyDescent="0.2">
      <c r="A107" s="803"/>
      <c r="B107" s="712">
        <v>40642</v>
      </c>
      <c r="C107" t="s">
        <v>479</v>
      </c>
      <c r="D107" t="s">
        <v>2783</v>
      </c>
      <c r="E107" s="713" t="s">
        <v>2719</v>
      </c>
      <c r="G107" s="701">
        <v>5509</v>
      </c>
    </row>
    <row r="108" spans="1:8" outlineLevel="1" x14ac:dyDescent="0.2">
      <c r="A108" s="803"/>
      <c r="B108" s="712">
        <v>40642</v>
      </c>
      <c r="C108" s="713" t="s">
        <v>2706</v>
      </c>
      <c r="D108" t="s">
        <v>2784</v>
      </c>
      <c r="E108" s="713" t="s">
        <v>2700</v>
      </c>
      <c r="G108" s="701">
        <v>10000</v>
      </c>
    </row>
    <row r="109" spans="1:8" outlineLevel="1" x14ac:dyDescent="0.2">
      <c r="A109" s="803"/>
      <c r="B109" s="712">
        <v>40643</v>
      </c>
      <c r="C109" t="s">
        <v>367</v>
      </c>
      <c r="D109" t="s">
        <v>2707</v>
      </c>
      <c r="E109" t="s">
        <v>2707</v>
      </c>
      <c r="G109" s="701">
        <v>11500</v>
      </c>
    </row>
    <row r="110" spans="1:8" outlineLevel="1" x14ac:dyDescent="0.2">
      <c r="A110" s="803"/>
      <c r="B110" s="712">
        <v>40643</v>
      </c>
      <c r="C110" s="713" t="s">
        <v>2712</v>
      </c>
      <c r="D110" t="s">
        <v>2713</v>
      </c>
      <c r="E110" s="713" t="s">
        <v>2714</v>
      </c>
      <c r="G110" s="701">
        <v>3500</v>
      </c>
    </row>
    <row r="111" spans="1:8" outlineLevel="1" x14ac:dyDescent="0.2">
      <c r="A111" s="803"/>
      <c r="B111" s="712">
        <v>40644</v>
      </c>
      <c r="C111"/>
      <c r="D111"/>
      <c r="E111"/>
    </row>
    <row r="112" spans="1:8" outlineLevel="1" x14ac:dyDescent="0.2">
      <c r="A112" s="803"/>
      <c r="B112" s="712">
        <v>40644</v>
      </c>
      <c r="C112" s="713" t="s">
        <v>2704</v>
      </c>
      <c r="D112" s="713" t="s">
        <v>2726</v>
      </c>
      <c r="E112" s="713" t="s">
        <v>2724</v>
      </c>
      <c r="G112" s="701">
        <v>350</v>
      </c>
    </row>
    <row r="113" spans="1:7" outlineLevel="1" x14ac:dyDescent="0.2">
      <c r="A113" s="803"/>
      <c r="B113" s="712">
        <v>40644</v>
      </c>
      <c r="C113" t="s">
        <v>1960</v>
      </c>
      <c r="D113" t="s">
        <v>2785</v>
      </c>
      <c r="E113" t="s">
        <v>2750</v>
      </c>
      <c r="G113" s="701">
        <v>2800</v>
      </c>
    </row>
    <row r="114" spans="1:7" outlineLevel="1" x14ac:dyDescent="0.2">
      <c r="A114" s="803"/>
      <c r="B114" s="712">
        <v>40644</v>
      </c>
      <c r="C114" t="s">
        <v>2787</v>
      </c>
      <c r="D114" t="s">
        <v>2788</v>
      </c>
      <c r="E114" t="s">
        <v>1035</v>
      </c>
      <c r="G114" s="701">
        <v>315</v>
      </c>
    </row>
    <row r="115" spans="1:7" outlineLevel="1" x14ac:dyDescent="0.2">
      <c r="A115" s="803"/>
      <c r="B115" s="712">
        <v>40644</v>
      </c>
      <c r="C115"/>
      <c r="D115" t="s">
        <v>2786</v>
      </c>
      <c r="E115" t="s">
        <v>1035</v>
      </c>
      <c r="G115" s="701">
        <v>350</v>
      </c>
    </row>
    <row r="116" spans="1:7" outlineLevel="1" x14ac:dyDescent="0.2">
      <c r="A116" s="803"/>
      <c r="B116" s="712">
        <v>40644</v>
      </c>
      <c r="C116"/>
      <c r="D116" t="s">
        <v>2786</v>
      </c>
      <c r="E116" t="s">
        <v>1035</v>
      </c>
      <c r="G116" s="701">
        <v>140</v>
      </c>
    </row>
    <row r="117" spans="1:7" outlineLevel="1" x14ac:dyDescent="0.2">
      <c r="A117" s="803"/>
      <c r="B117" s="712">
        <v>40645</v>
      </c>
      <c r="C117" s="713" t="s">
        <v>2704</v>
      </c>
      <c r="D117" s="713" t="s">
        <v>2726</v>
      </c>
      <c r="E117" s="713" t="s">
        <v>2724</v>
      </c>
      <c r="G117" s="701">
        <v>420</v>
      </c>
    </row>
    <row r="118" spans="1:7" outlineLevel="1" x14ac:dyDescent="0.2">
      <c r="A118" s="803"/>
      <c r="B118" s="712">
        <v>40645</v>
      </c>
      <c r="C118" t="s">
        <v>2732</v>
      </c>
      <c r="D118" t="s">
        <v>2790</v>
      </c>
      <c r="E118" t="s">
        <v>2730</v>
      </c>
      <c r="G118" s="701">
        <v>6500</v>
      </c>
    </row>
    <row r="119" spans="1:7" outlineLevel="1" x14ac:dyDescent="0.2">
      <c r="A119" s="803"/>
      <c r="B119" s="712">
        <v>40646</v>
      </c>
      <c r="C119" t="s">
        <v>2773</v>
      </c>
      <c r="D119" t="s">
        <v>2789</v>
      </c>
      <c r="E119" t="s">
        <v>1035</v>
      </c>
      <c r="G119" s="701">
        <v>6000</v>
      </c>
    </row>
    <row r="120" spans="1:7" outlineLevel="1" x14ac:dyDescent="0.2">
      <c r="A120" s="803"/>
      <c r="B120" s="712">
        <v>40647</v>
      </c>
      <c r="D120"/>
    </row>
    <row r="121" spans="1:7" outlineLevel="1" x14ac:dyDescent="0.2">
      <c r="A121" s="803"/>
      <c r="B121" s="712">
        <v>40648</v>
      </c>
      <c r="C121" t="s">
        <v>367</v>
      </c>
      <c r="D121" t="s">
        <v>2707</v>
      </c>
      <c r="E121" t="s">
        <v>2707</v>
      </c>
      <c r="G121" s="701">
        <v>12312</v>
      </c>
    </row>
    <row r="122" spans="1:7" outlineLevel="1" x14ac:dyDescent="0.2">
      <c r="A122" s="803"/>
      <c r="B122" s="712">
        <v>40648</v>
      </c>
      <c r="C122" s="713" t="s">
        <v>2712</v>
      </c>
      <c r="D122" t="s">
        <v>2713</v>
      </c>
      <c r="E122" s="713" t="s">
        <v>2714</v>
      </c>
      <c r="G122" s="701">
        <v>4475</v>
      </c>
    </row>
    <row r="123" spans="1:7" outlineLevel="1" x14ac:dyDescent="0.2">
      <c r="A123" s="803"/>
      <c r="B123" s="712">
        <v>40648</v>
      </c>
      <c r="C123" t="s">
        <v>2758</v>
      </c>
      <c r="D123" s="713" t="s">
        <v>2759</v>
      </c>
      <c r="E123" s="713" t="s">
        <v>2707</v>
      </c>
      <c r="G123" s="701">
        <v>6120</v>
      </c>
    </row>
    <row r="124" spans="1:7" outlineLevel="1" x14ac:dyDescent="0.2">
      <c r="A124" s="803"/>
      <c r="B124" s="712">
        <v>40648</v>
      </c>
      <c r="C124" s="718" t="s">
        <v>474</v>
      </c>
      <c r="D124" s="339" t="s">
        <v>2791</v>
      </c>
      <c r="E124" t="s">
        <v>2750</v>
      </c>
      <c r="F124" s="718"/>
      <c r="G124" s="701">
        <v>860</v>
      </c>
    </row>
    <row r="125" spans="1:7" outlineLevel="1" x14ac:dyDescent="0.2">
      <c r="A125" s="803"/>
      <c r="B125" s="712">
        <v>40649</v>
      </c>
      <c r="C125" s="713" t="s">
        <v>2781</v>
      </c>
      <c r="D125" t="s">
        <v>2792</v>
      </c>
      <c r="E125" t="s">
        <v>2730</v>
      </c>
      <c r="G125" s="701">
        <v>625</v>
      </c>
    </row>
    <row r="126" spans="1:7" outlineLevel="1" x14ac:dyDescent="0.2">
      <c r="A126" s="803"/>
      <c r="B126" s="712">
        <v>40650</v>
      </c>
      <c r="D126" t="s">
        <v>2793</v>
      </c>
      <c r="E126" t="s">
        <v>2730</v>
      </c>
      <c r="G126" s="701">
        <v>4500</v>
      </c>
    </row>
    <row r="127" spans="1:7" outlineLevel="1" x14ac:dyDescent="0.2">
      <c r="A127" s="803"/>
      <c r="B127" s="712">
        <v>40651</v>
      </c>
      <c r="D127"/>
    </row>
    <row r="128" spans="1:7" outlineLevel="1" x14ac:dyDescent="0.2">
      <c r="A128" s="803"/>
      <c r="B128" s="712">
        <v>40652</v>
      </c>
      <c r="C128" s="339" t="s">
        <v>376</v>
      </c>
      <c r="D128" s="339" t="s">
        <v>2794</v>
      </c>
      <c r="E128" t="s">
        <v>2750</v>
      </c>
      <c r="F128" s="718"/>
      <c r="G128" s="701">
        <v>5000</v>
      </c>
    </row>
    <row r="129" spans="1:7" outlineLevel="1" x14ac:dyDescent="0.2">
      <c r="A129" s="803"/>
      <c r="B129" s="712">
        <v>40652</v>
      </c>
      <c r="C129" s="339" t="s">
        <v>376</v>
      </c>
      <c r="D129" s="339" t="s">
        <v>2795</v>
      </c>
      <c r="E129" t="s">
        <v>2750</v>
      </c>
      <c r="F129" s="718"/>
      <c r="G129" s="701">
        <v>2650</v>
      </c>
    </row>
    <row r="130" spans="1:7" outlineLevel="1" x14ac:dyDescent="0.2">
      <c r="A130" s="803"/>
      <c r="B130" s="712">
        <v>40652</v>
      </c>
      <c r="C130" t="s">
        <v>367</v>
      </c>
      <c r="D130" t="s">
        <v>2707</v>
      </c>
      <c r="E130" t="s">
        <v>2707</v>
      </c>
      <c r="G130" s="701">
        <v>3552</v>
      </c>
    </row>
    <row r="131" spans="1:7" outlineLevel="1" x14ac:dyDescent="0.2">
      <c r="A131" s="803"/>
      <c r="B131" s="712">
        <v>40652</v>
      </c>
      <c r="C131" t="s">
        <v>2797</v>
      </c>
      <c r="D131" t="s">
        <v>2796</v>
      </c>
      <c r="E131" t="s">
        <v>2707</v>
      </c>
      <c r="G131" s="701">
        <v>480</v>
      </c>
    </row>
    <row r="132" spans="1:7" outlineLevel="1" x14ac:dyDescent="0.2">
      <c r="A132" s="803"/>
      <c r="B132" s="712">
        <v>40653</v>
      </c>
      <c r="C132" t="s">
        <v>2798</v>
      </c>
      <c r="D132" t="s">
        <v>2799</v>
      </c>
      <c r="E132" t="s">
        <v>1035</v>
      </c>
      <c r="G132" s="701">
        <v>3000</v>
      </c>
    </row>
    <row r="133" spans="1:7" outlineLevel="1" x14ac:dyDescent="0.2">
      <c r="A133" s="803"/>
      <c r="B133" s="712">
        <v>40653</v>
      </c>
      <c r="C133" s="713" t="s">
        <v>2712</v>
      </c>
      <c r="D133" t="s">
        <v>2713</v>
      </c>
      <c r="E133" s="713" t="s">
        <v>2714</v>
      </c>
      <c r="G133" s="701">
        <v>1000</v>
      </c>
    </row>
    <row r="134" spans="1:7" outlineLevel="1" x14ac:dyDescent="0.2">
      <c r="A134" s="803"/>
      <c r="B134" s="712">
        <v>40654</v>
      </c>
      <c r="D134" t="s">
        <v>2801</v>
      </c>
      <c r="E134" t="s">
        <v>2730</v>
      </c>
      <c r="G134" s="701">
        <v>14000</v>
      </c>
    </row>
    <row r="135" spans="1:7" outlineLevel="1" x14ac:dyDescent="0.2">
      <c r="A135" s="803"/>
      <c r="B135" s="712">
        <v>40655</v>
      </c>
      <c r="C135" s="713" t="s">
        <v>2706</v>
      </c>
      <c r="D135" t="s">
        <v>2784</v>
      </c>
      <c r="E135" s="713" t="s">
        <v>2700</v>
      </c>
      <c r="G135" s="701">
        <v>10000</v>
      </c>
    </row>
    <row r="136" spans="1:7" outlineLevel="1" x14ac:dyDescent="0.2">
      <c r="A136" s="803"/>
      <c r="B136" s="712">
        <v>40655</v>
      </c>
      <c r="C136" t="s">
        <v>2802</v>
      </c>
      <c r="D136" t="s">
        <v>2803</v>
      </c>
      <c r="E136" s="713" t="s">
        <v>2722</v>
      </c>
      <c r="G136" s="701">
        <v>5000</v>
      </c>
    </row>
    <row r="137" spans="1:7" outlineLevel="1" x14ac:dyDescent="0.2">
      <c r="A137" s="803"/>
      <c r="B137" s="712">
        <v>40655</v>
      </c>
      <c r="C137" t="s">
        <v>1655</v>
      </c>
      <c r="D137" t="s">
        <v>2804</v>
      </c>
      <c r="E137" t="s">
        <v>2707</v>
      </c>
      <c r="G137" s="701">
        <v>600</v>
      </c>
    </row>
    <row r="138" spans="1:7" outlineLevel="1" x14ac:dyDescent="0.2">
      <c r="A138" s="803"/>
      <c r="B138" s="712">
        <v>40655</v>
      </c>
      <c r="C138" t="s">
        <v>2739</v>
      </c>
      <c r="D138" t="s">
        <v>2805</v>
      </c>
      <c r="E138" t="s">
        <v>2730</v>
      </c>
      <c r="G138" s="701">
        <v>8000</v>
      </c>
    </row>
    <row r="139" spans="1:7" outlineLevel="1" x14ac:dyDescent="0.2">
      <c r="A139" s="803"/>
      <c r="B139" s="712">
        <v>40655</v>
      </c>
      <c r="C139"/>
      <c r="D139" t="s">
        <v>2806</v>
      </c>
      <c r="E139" t="s">
        <v>2730</v>
      </c>
      <c r="G139" s="701">
        <v>4000</v>
      </c>
    </row>
    <row r="140" spans="1:7" outlineLevel="1" x14ac:dyDescent="0.2">
      <c r="A140" s="803"/>
      <c r="B140" s="712">
        <v>40655</v>
      </c>
      <c r="C140" t="s">
        <v>1655</v>
      </c>
      <c r="D140" t="s">
        <v>2807</v>
      </c>
      <c r="E140" s="713" t="s">
        <v>2722</v>
      </c>
      <c r="G140" s="701">
        <v>5200</v>
      </c>
    </row>
    <row r="141" spans="1:7" outlineLevel="1" x14ac:dyDescent="0.2">
      <c r="A141" s="803"/>
      <c r="B141" s="712">
        <v>40656</v>
      </c>
      <c r="C141"/>
      <c r="D141" t="s">
        <v>2808</v>
      </c>
      <c r="E141" s="713" t="s">
        <v>2722</v>
      </c>
      <c r="G141" s="701">
        <v>2700</v>
      </c>
    </row>
    <row r="142" spans="1:7" outlineLevel="1" x14ac:dyDescent="0.2">
      <c r="A142" s="803"/>
      <c r="B142" s="712">
        <v>40657</v>
      </c>
      <c r="D142"/>
    </row>
    <row r="143" spans="1:7" outlineLevel="1" x14ac:dyDescent="0.2">
      <c r="A143" s="803"/>
      <c r="B143" s="712">
        <v>40658</v>
      </c>
      <c r="D143"/>
    </row>
    <row r="144" spans="1:7" outlineLevel="1" x14ac:dyDescent="0.2">
      <c r="A144" s="803"/>
      <c r="B144" s="712">
        <v>40659</v>
      </c>
      <c r="D144"/>
    </row>
    <row r="145" spans="1:7" outlineLevel="1" x14ac:dyDescent="0.2">
      <c r="A145" s="803"/>
      <c r="B145" s="712">
        <v>40660</v>
      </c>
      <c r="C145" s="713" t="s">
        <v>2706</v>
      </c>
      <c r="D145" t="s">
        <v>2784</v>
      </c>
      <c r="E145" s="713" t="s">
        <v>2700</v>
      </c>
      <c r="G145" s="701">
        <v>5000</v>
      </c>
    </row>
    <row r="146" spans="1:7" outlineLevel="1" x14ac:dyDescent="0.2">
      <c r="A146" s="803"/>
      <c r="B146" s="712">
        <v>40660</v>
      </c>
      <c r="C146" s="713" t="s">
        <v>2781</v>
      </c>
      <c r="D146" t="s">
        <v>2782</v>
      </c>
      <c r="E146" t="s">
        <v>2730</v>
      </c>
      <c r="G146" s="701">
        <v>960</v>
      </c>
    </row>
    <row r="147" spans="1:7" outlineLevel="1" x14ac:dyDescent="0.2">
      <c r="A147" s="803"/>
      <c r="B147" s="712">
        <v>40660</v>
      </c>
      <c r="C147" s="713" t="s">
        <v>2712</v>
      </c>
      <c r="D147" t="s">
        <v>2713</v>
      </c>
      <c r="E147" s="713" t="s">
        <v>2714</v>
      </c>
      <c r="G147" s="701">
        <v>1600</v>
      </c>
    </row>
    <row r="148" spans="1:7" outlineLevel="1" x14ac:dyDescent="0.2">
      <c r="A148" s="803"/>
      <c r="B148" s="712">
        <v>40660</v>
      </c>
      <c r="C148" t="s">
        <v>367</v>
      </c>
      <c r="D148" t="s">
        <v>2707</v>
      </c>
      <c r="E148" t="s">
        <v>2707</v>
      </c>
      <c r="G148" s="701">
        <v>4143</v>
      </c>
    </row>
    <row r="149" spans="1:7" outlineLevel="1" x14ac:dyDescent="0.2">
      <c r="A149" s="803"/>
      <c r="B149" s="712">
        <v>40660</v>
      </c>
      <c r="C149" t="s">
        <v>479</v>
      </c>
      <c r="D149" t="s">
        <v>2783</v>
      </c>
      <c r="E149" s="713" t="s">
        <v>2719</v>
      </c>
      <c r="G149" s="701">
        <v>2782</v>
      </c>
    </row>
    <row r="150" spans="1:7" outlineLevel="1" x14ac:dyDescent="0.2">
      <c r="A150" s="803"/>
      <c r="B150" s="712">
        <v>40660</v>
      </c>
      <c r="C150"/>
      <c r="D150" t="s">
        <v>2809</v>
      </c>
      <c r="E150" t="s">
        <v>1035</v>
      </c>
      <c r="G150" s="701">
        <v>4550</v>
      </c>
    </row>
    <row r="151" spans="1:7" outlineLevel="1" x14ac:dyDescent="0.2">
      <c r="A151" s="803"/>
      <c r="B151" s="712">
        <v>40660</v>
      </c>
      <c r="C151" s="713" t="s">
        <v>2704</v>
      </c>
      <c r="D151" s="713" t="s">
        <v>2726</v>
      </c>
      <c r="E151" s="713" t="s">
        <v>2724</v>
      </c>
      <c r="G151" s="701">
        <v>350</v>
      </c>
    </row>
    <row r="152" spans="1:7" outlineLevel="1" x14ac:dyDescent="0.2">
      <c r="A152" s="803"/>
      <c r="B152" s="712">
        <v>40661</v>
      </c>
      <c r="C152" s="713" t="s">
        <v>2704</v>
      </c>
      <c r="D152" s="713" t="s">
        <v>2726</v>
      </c>
      <c r="E152" s="713" t="s">
        <v>2724</v>
      </c>
      <c r="G152" s="701">
        <v>1200</v>
      </c>
    </row>
    <row r="153" spans="1:7" outlineLevel="1" x14ac:dyDescent="0.2">
      <c r="A153" s="803"/>
      <c r="B153" s="712">
        <v>40661</v>
      </c>
      <c r="C153" t="s">
        <v>2810</v>
      </c>
      <c r="D153" t="s">
        <v>2807</v>
      </c>
      <c r="E153" s="713" t="s">
        <v>2722</v>
      </c>
      <c r="G153" s="701">
        <v>2500</v>
      </c>
    </row>
    <row r="154" spans="1:7" outlineLevel="1" x14ac:dyDescent="0.2">
      <c r="A154" s="803"/>
      <c r="B154" s="712">
        <v>40662</v>
      </c>
      <c r="C154" t="s">
        <v>2708</v>
      </c>
      <c r="D154" s="713" t="s">
        <v>2709</v>
      </c>
      <c r="E154" s="713" t="s">
        <v>2709</v>
      </c>
      <c r="G154" s="701">
        <v>726</v>
      </c>
    </row>
    <row r="155" spans="1:7" outlineLevel="1" x14ac:dyDescent="0.2">
      <c r="A155" s="803"/>
      <c r="B155" s="712">
        <v>40662</v>
      </c>
      <c r="C155" t="s">
        <v>367</v>
      </c>
      <c r="D155" t="s">
        <v>2707</v>
      </c>
      <c r="E155" t="s">
        <v>2707</v>
      </c>
      <c r="G155" s="701">
        <v>2200</v>
      </c>
    </row>
    <row r="156" spans="1:7" outlineLevel="1" x14ac:dyDescent="0.2">
      <c r="A156" s="803"/>
      <c r="B156" s="712">
        <v>40662</v>
      </c>
      <c r="C156" t="s">
        <v>2798</v>
      </c>
      <c r="D156" t="s">
        <v>2799</v>
      </c>
      <c r="E156" t="s">
        <v>1035</v>
      </c>
      <c r="G156" s="701">
        <v>3000</v>
      </c>
    </row>
    <row r="157" spans="1:7" outlineLevel="1" x14ac:dyDescent="0.2">
      <c r="A157" s="803"/>
      <c r="B157" s="712">
        <v>40662</v>
      </c>
      <c r="D157" t="s">
        <v>2811</v>
      </c>
      <c r="E157" t="s">
        <v>2730</v>
      </c>
      <c r="G157" s="701">
        <v>800</v>
      </c>
    </row>
    <row r="158" spans="1:7" outlineLevel="1" x14ac:dyDescent="0.2">
      <c r="A158" s="803"/>
      <c r="B158" s="712">
        <v>40663</v>
      </c>
      <c r="C158" t="s">
        <v>367</v>
      </c>
      <c r="D158" t="s">
        <v>2707</v>
      </c>
      <c r="E158" t="s">
        <v>2707</v>
      </c>
      <c r="G158" s="701">
        <v>757</v>
      </c>
    </row>
    <row r="159" spans="1:7" outlineLevel="1" x14ac:dyDescent="0.2">
      <c r="A159" s="803"/>
      <c r="B159" s="712">
        <v>40663</v>
      </c>
      <c r="C159" s="713" t="s">
        <v>2712</v>
      </c>
      <c r="D159" t="s">
        <v>2713</v>
      </c>
      <c r="E159" s="713" t="s">
        <v>2714</v>
      </c>
      <c r="G159" s="701">
        <v>1231</v>
      </c>
    </row>
    <row r="160" spans="1:7" outlineLevel="1" x14ac:dyDescent="0.2">
      <c r="A160" s="803"/>
      <c r="B160" s="712">
        <v>40663</v>
      </c>
      <c r="C160"/>
      <c r="D160" t="s">
        <v>2812</v>
      </c>
      <c r="E160" t="s">
        <v>2730</v>
      </c>
      <c r="G160" s="701">
        <v>3100</v>
      </c>
    </row>
    <row r="161" spans="1:7" outlineLevel="1" x14ac:dyDescent="0.2">
      <c r="A161" s="803"/>
      <c r="B161" s="712">
        <v>40664</v>
      </c>
      <c r="D161"/>
    </row>
    <row r="162" spans="1:7" outlineLevel="1" x14ac:dyDescent="0.2">
      <c r="A162" s="803"/>
      <c r="B162" s="712">
        <v>40665</v>
      </c>
      <c r="C162" t="s">
        <v>367</v>
      </c>
      <c r="D162" t="s">
        <v>2707</v>
      </c>
      <c r="E162" t="s">
        <v>2707</v>
      </c>
      <c r="G162" s="701">
        <v>10095</v>
      </c>
    </row>
    <row r="163" spans="1:7" outlineLevel="1" x14ac:dyDescent="0.2">
      <c r="A163" s="803"/>
      <c r="B163" s="712">
        <v>40665</v>
      </c>
      <c r="C163" s="713" t="s">
        <v>2712</v>
      </c>
      <c r="D163" t="s">
        <v>2713</v>
      </c>
      <c r="E163" s="713" t="s">
        <v>2714</v>
      </c>
      <c r="G163" s="701">
        <v>2440</v>
      </c>
    </row>
    <row r="164" spans="1:7" outlineLevel="1" x14ac:dyDescent="0.2">
      <c r="A164" s="803"/>
      <c r="B164" s="712">
        <v>40666</v>
      </c>
      <c r="D164"/>
    </row>
    <row r="165" spans="1:7" outlineLevel="1" x14ac:dyDescent="0.2">
      <c r="A165" s="803"/>
      <c r="B165" s="712">
        <v>40667</v>
      </c>
      <c r="C165" s="713" t="s">
        <v>2706</v>
      </c>
      <c r="D165" t="s">
        <v>2784</v>
      </c>
      <c r="E165" s="713" t="s">
        <v>2700</v>
      </c>
      <c r="G165" s="701">
        <v>2500</v>
      </c>
    </row>
    <row r="166" spans="1:7" outlineLevel="1" x14ac:dyDescent="0.2">
      <c r="A166" s="803"/>
      <c r="B166" s="712">
        <v>40668</v>
      </c>
      <c r="C166" t="s">
        <v>367</v>
      </c>
      <c r="D166" t="s">
        <v>2707</v>
      </c>
      <c r="E166" t="s">
        <v>2707</v>
      </c>
      <c r="G166" s="701">
        <v>6012</v>
      </c>
    </row>
    <row r="167" spans="1:7" outlineLevel="1" x14ac:dyDescent="0.2">
      <c r="A167" s="803"/>
      <c r="B167" s="712">
        <v>40668</v>
      </c>
      <c r="C167" s="713" t="s">
        <v>2712</v>
      </c>
      <c r="D167" t="s">
        <v>2713</v>
      </c>
      <c r="E167" s="713" t="s">
        <v>2714</v>
      </c>
      <c r="G167" s="701">
        <v>905</v>
      </c>
    </row>
    <row r="168" spans="1:7" outlineLevel="1" x14ac:dyDescent="0.2">
      <c r="A168" s="803"/>
      <c r="B168" s="712">
        <v>40669</v>
      </c>
      <c r="C168" t="s">
        <v>479</v>
      </c>
      <c r="D168"/>
      <c r="E168" s="713" t="s">
        <v>2719</v>
      </c>
      <c r="G168" s="701">
        <v>4281</v>
      </c>
    </row>
    <row r="169" spans="1:7" outlineLevel="1" x14ac:dyDescent="0.2">
      <c r="A169" s="803"/>
      <c r="B169" s="712">
        <v>40669</v>
      </c>
      <c r="C169" t="s">
        <v>2708</v>
      </c>
      <c r="D169" s="713" t="s">
        <v>2709</v>
      </c>
      <c r="E169" s="713" t="s">
        <v>2709</v>
      </c>
      <c r="G169" s="701">
        <v>1646</v>
      </c>
    </row>
    <row r="170" spans="1:7" outlineLevel="1" x14ac:dyDescent="0.2">
      <c r="A170" s="803"/>
      <c r="B170" s="712">
        <v>40669</v>
      </c>
      <c r="C170" t="s">
        <v>2764</v>
      </c>
      <c r="D170" t="s">
        <v>2763</v>
      </c>
      <c r="E170" s="713" t="s">
        <v>2707</v>
      </c>
      <c r="G170" s="701">
        <v>1200</v>
      </c>
    </row>
    <row r="171" spans="1:7" outlineLevel="1" x14ac:dyDescent="0.2">
      <c r="A171" s="803"/>
      <c r="B171" s="712">
        <v>40670</v>
      </c>
      <c r="D171"/>
    </row>
    <row r="172" spans="1:7" outlineLevel="1" x14ac:dyDescent="0.2">
      <c r="A172" s="803"/>
      <c r="B172" s="712">
        <v>40671</v>
      </c>
      <c r="C172" t="s">
        <v>367</v>
      </c>
      <c r="D172" t="s">
        <v>2707</v>
      </c>
      <c r="E172" t="s">
        <v>2707</v>
      </c>
      <c r="G172" s="701">
        <v>3500</v>
      </c>
    </row>
    <row r="173" spans="1:7" outlineLevel="1" x14ac:dyDescent="0.2">
      <c r="A173" s="803"/>
      <c r="B173" s="712">
        <v>40671</v>
      </c>
      <c r="C173" s="713" t="s">
        <v>2712</v>
      </c>
      <c r="D173" t="s">
        <v>2713</v>
      </c>
      <c r="E173" s="713" t="s">
        <v>2714</v>
      </c>
      <c r="G173" s="701">
        <v>2500</v>
      </c>
    </row>
    <row r="174" spans="1:7" outlineLevel="1" x14ac:dyDescent="0.2">
      <c r="A174" s="803"/>
      <c r="B174" s="712">
        <v>40672</v>
      </c>
      <c r="C174" t="s">
        <v>367</v>
      </c>
      <c r="D174" t="s">
        <v>2707</v>
      </c>
      <c r="E174" t="s">
        <v>2707</v>
      </c>
      <c r="G174" s="701">
        <v>6056</v>
      </c>
    </row>
    <row r="175" spans="1:7" outlineLevel="1" x14ac:dyDescent="0.2">
      <c r="A175" s="803"/>
      <c r="B175" s="712">
        <v>40672</v>
      </c>
      <c r="C175" t="s">
        <v>2732</v>
      </c>
      <c r="D175" t="s">
        <v>2769</v>
      </c>
      <c r="E175" t="s">
        <v>2730</v>
      </c>
      <c r="G175" s="701">
        <v>4500</v>
      </c>
    </row>
    <row r="176" spans="1:7" outlineLevel="1" x14ac:dyDescent="0.2">
      <c r="A176" s="803"/>
      <c r="B176" s="712">
        <v>40673</v>
      </c>
      <c r="C176" t="s">
        <v>367</v>
      </c>
      <c r="D176" t="s">
        <v>2707</v>
      </c>
      <c r="E176" t="s">
        <v>2707</v>
      </c>
      <c r="G176" s="701">
        <v>850</v>
      </c>
    </row>
    <row r="177" spans="1:7" outlineLevel="1" x14ac:dyDescent="0.2">
      <c r="A177" s="803"/>
      <c r="B177" s="712">
        <v>40673</v>
      </c>
      <c r="C177" s="713" t="s">
        <v>2706</v>
      </c>
      <c r="D177" t="s">
        <v>2784</v>
      </c>
      <c r="E177" s="713" t="s">
        <v>2700</v>
      </c>
      <c r="G177" s="701">
        <v>2000</v>
      </c>
    </row>
    <row r="178" spans="1:7" outlineLevel="1" x14ac:dyDescent="0.2">
      <c r="A178" s="803"/>
      <c r="B178" s="712">
        <v>40673</v>
      </c>
      <c r="C178"/>
      <c r="D178" t="s">
        <v>2814</v>
      </c>
      <c r="E178" t="s">
        <v>1035</v>
      </c>
      <c r="G178" s="701">
        <v>2800</v>
      </c>
    </row>
    <row r="179" spans="1:7" outlineLevel="1" x14ac:dyDescent="0.2">
      <c r="A179" s="803"/>
      <c r="B179" s="712">
        <v>40674</v>
      </c>
      <c r="C179" s="713" t="s">
        <v>2706</v>
      </c>
      <c r="D179" t="s">
        <v>2784</v>
      </c>
      <c r="E179" s="713" t="s">
        <v>2700</v>
      </c>
      <c r="G179" s="701">
        <v>10000</v>
      </c>
    </row>
    <row r="180" spans="1:7" outlineLevel="1" x14ac:dyDescent="0.2">
      <c r="A180" s="803"/>
      <c r="B180" s="712">
        <v>40674</v>
      </c>
      <c r="C180"/>
      <c r="D180" t="s">
        <v>2815</v>
      </c>
      <c r="E180" s="713" t="s">
        <v>2722</v>
      </c>
      <c r="G180" s="701">
        <v>16500</v>
      </c>
    </row>
    <row r="181" spans="1:7" outlineLevel="1" x14ac:dyDescent="0.2">
      <c r="A181" s="803"/>
      <c r="B181" s="712">
        <v>40674</v>
      </c>
      <c r="C181"/>
      <c r="D181" t="s">
        <v>1943</v>
      </c>
      <c r="E181" t="s">
        <v>1035</v>
      </c>
      <c r="G181" s="701">
        <v>3000</v>
      </c>
    </row>
    <row r="182" spans="1:7" outlineLevel="1" x14ac:dyDescent="0.2">
      <c r="A182" s="803"/>
      <c r="B182" s="712">
        <v>40675</v>
      </c>
      <c r="D182" t="s">
        <v>2843</v>
      </c>
      <c r="E182" t="s">
        <v>1035</v>
      </c>
      <c r="G182" s="701">
        <v>300</v>
      </c>
    </row>
    <row r="183" spans="1:7" outlineLevel="1" x14ac:dyDescent="0.2">
      <c r="A183" s="803"/>
      <c r="B183" s="712">
        <v>40676</v>
      </c>
      <c r="C183" t="s">
        <v>367</v>
      </c>
      <c r="D183" t="s">
        <v>2707</v>
      </c>
      <c r="E183" t="s">
        <v>2707</v>
      </c>
      <c r="G183" s="701">
        <v>3459</v>
      </c>
    </row>
    <row r="184" spans="1:7" outlineLevel="1" x14ac:dyDescent="0.2">
      <c r="A184" s="803"/>
      <c r="B184" s="712">
        <v>40676</v>
      </c>
      <c r="C184" s="713" t="s">
        <v>2712</v>
      </c>
      <c r="D184" t="s">
        <v>2713</v>
      </c>
      <c r="E184" s="713" t="s">
        <v>2714</v>
      </c>
      <c r="G184" s="701">
        <v>3090</v>
      </c>
    </row>
    <row r="185" spans="1:7" outlineLevel="1" x14ac:dyDescent="0.2">
      <c r="A185" s="803"/>
      <c r="B185" s="712">
        <v>40676</v>
      </c>
      <c r="C185" t="s">
        <v>479</v>
      </c>
      <c r="D185"/>
      <c r="E185" s="713" t="s">
        <v>2719</v>
      </c>
      <c r="G185" s="701">
        <v>10107</v>
      </c>
    </row>
    <row r="186" spans="1:7" outlineLevel="1" x14ac:dyDescent="0.2">
      <c r="A186" s="803"/>
      <c r="B186" s="712">
        <v>40677</v>
      </c>
      <c r="D186"/>
    </row>
    <row r="187" spans="1:7" outlineLevel="1" x14ac:dyDescent="0.2">
      <c r="A187" s="803"/>
      <c r="B187" s="712">
        <v>40678</v>
      </c>
      <c r="D187"/>
    </row>
    <row r="188" spans="1:7" outlineLevel="1" x14ac:dyDescent="0.2">
      <c r="A188" s="803"/>
      <c r="B188" s="712">
        <v>40679</v>
      </c>
      <c r="C188" s="713" t="s">
        <v>2712</v>
      </c>
      <c r="D188" t="s">
        <v>2713</v>
      </c>
      <c r="E188" s="713" t="s">
        <v>2714</v>
      </c>
      <c r="G188" s="701">
        <v>635</v>
      </c>
    </row>
    <row r="189" spans="1:7" outlineLevel="1" x14ac:dyDescent="0.2">
      <c r="A189" s="803"/>
      <c r="B189" s="712">
        <v>40679</v>
      </c>
      <c r="C189"/>
      <c r="D189" t="s">
        <v>2816</v>
      </c>
      <c r="E189" t="s">
        <v>2707</v>
      </c>
      <c r="G189" s="701">
        <v>245</v>
      </c>
    </row>
    <row r="190" spans="1:7" outlineLevel="1" x14ac:dyDescent="0.2">
      <c r="A190" s="803"/>
      <c r="B190" s="712">
        <v>40679</v>
      </c>
      <c r="C190" t="s">
        <v>367</v>
      </c>
      <c r="D190" t="s">
        <v>2707</v>
      </c>
      <c r="E190" t="s">
        <v>2707</v>
      </c>
      <c r="G190" s="701">
        <v>5558</v>
      </c>
    </row>
    <row r="191" spans="1:7" outlineLevel="1" x14ac:dyDescent="0.2">
      <c r="A191" s="803"/>
      <c r="B191" s="712">
        <v>40679</v>
      </c>
      <c r="C191" s="713" t="s">
        <v>2712</v>
      </c>
      <c r="D191" t="s">
        <v>2713</v>
      </c>
      <c r="E191" s="713" t="s">
        <v>2714</v>
      </c>
      <c r="G191" s="701">
        <v>3300</v>
      </c>
    </row>
    <row r="192" spans="1:7" outlineLevel="1" x14ac:dyDescent="0.2">
      <c r="A192" s="803"/>
      <c r="B192" s="712">
        <v>40680</v>
      </c>
      <c r="D192"/>
    </row>
    <row r="193" spans="1:7" outlineLevel="1" x14ac:dyDescent="0.2">
      <c r="A193" s="803"/>
      <c r="B193" s="712">
        <v>40681</v>
      </c>
      <c r="C193" s="713" t="s">
        <v>2712</v>
      </c>
      <c r="D193" t="s">
        <v>2713</v>
      </c>
      <c r="E193" s="713" t="s">
        <v>2714</v>
      </c>
      <c r="G193" s="701">
        <v>315</v>
      </c>
    </row>
    <row r="194" spans="1:7" outlineLevel="1" x14ac:dyDescent="0.2">
      <c r="A194" s="803"/>
      <c r="B194" s="712">
        <v>40681</v>
      </c>
      <c r="C194" t="s">
        <v>2758</v>
      </c>
      <c r="D194" s="713" t="s">
        <v>2759</v>
      </c>
      <c r="E194" s="713" t="s">
        <v>2707</v>
      </c>
      <c r="G194" s="701">
        <v>6225</v>
      </c>
    </row>
    <row r="195" spans="1:7" outlineLevel="1" x14ac:dyDescent="0.2">
      <c r="A195" s="803"/>
      <c r="B195" s="712">
        <v>40681</v>
      </c>
      <c r="C195" t="s">
        <v>383</v>
      </c>
      <c r="D195" t="s">
        <v>2821</v>
      </c>
      <c r="E195" t="s">
        <v>2750</v>
      </c>
      <c r="G195" s="701">
        <v>20010</v>
      </c>
    </row>
    <row r="196" spans="1:7" outlineLevel="1" x14ac:dyDescent="0.2">
      <c r="A196" s="803"/>
      <c r="B196" s="712">
        <v>40682</v>
      </c>
      <c r="C196" t="s">
        <v>2822</v>
      </c>
      <c r="D196" t="s">
        <v>2707</v>
      </c>
      <c r="E196" t="s">
        <v>2707</v>
      </c>
      <c r="G196" s="701">
        <v>800</v>
      </c>
    </row>
    <row r="197" spans="1:7" outlineLevel="1" x14ac:dyDescent="0.2">
      <c r="A197" s="803"/>
      <c r="B197" s="712">
        <v>40682</v>
      </c>
      <c r="C197" t="s">
        <v>1914</v>
      </c>
      <c r="D197" t="s">
        <v>2823</v>
      </c>
      <c r="E197" t="s">
        <v>2730</v>
      </c>
      <c r="G197" s="701">
        <v>1100</v>
      </c>
    </row>
    <row r="198" spans="1:7" outlineLevel="1" x14ac:dyDescent="0.2">
      <c r="A198" s="803"/>
      <c r="B198" s="712">
        <v>40683</v>
      </c>
      <c r="C198" t="s">
        <v>367</v>
      </c>
      <c r="D198" t="s">
        <v>2707</v>
      </c>
      <c r="E198" t="s">
        <v>2707</v>
      </c>
      <c r="G198" s="701">
        <v>9066</v>
      </c>
    </row>
    <row r="199" spans="1:7" outlineLevel="1" x14ac:dyDescent="0.2">
      <c r="A199" s="803"/>
      <c r="B199" s="712">
        <v>40683</v>
      </c>
      <c r="C199" s="713" t="s">
        <v>2712</v>
      </c>
      <c r="D199" t="s">
        <v>2713</v>
      </c>
      <c r="E199" s="713" t="s">
        <v>2714</v>
      </c>
      <c r="G199" s="701">
        <v>3010</v>
      </c>
    </row>
    <row r="200" spans="1:7" outlineLevel="1" x14ac:dyDescent="0.2">
      <c r="A200" s="803"/>
      <c r="B200" s="712">
        <v>40683</v>
      </c>
      <c r="C200" s="713" t="s">
        <v>2704</v>
      </c>
      <c r="D200" s="713" t="s">
        <v>2726</v>
      </c>
      <c r="E200" s="713" t="s">
        <v>2724</v>
      </c>
      <c r="G200" s="701">
        <v>315</v>
      </c>
    </row>
    <row r="201" spans="1:7" outlineLevel="1" x14ac:dyDescent="0.2">
      <c r="A201" s="803"/>
      <c r="B201" s="712">
        <v>40684</v>
      </c>
      <c r="C201"/>
      <c r="D201" t="s">
        <v>2826</v>
      </c>
      <c r="E201" s="713" t="s">
        <v>2722</v>
      </c>
      <c r="G201" s="701">
        <v>5000</v>
      </c>
    </row>
    <row r="202" spans="1:7" outlineLevel="1" x14ac:dyDescent="0.2">
      <c r="A202" s="803"/>
      <c r="B202" s="712">
        <v>40685</v>
      </c>
      <c r="C202" s="713" t="s">
        <v>2712</v>
      </c>
      <c r="D202" t="s">
        <v>2713</v>
      </c>
      <c r="E202" s="713" t="s">
        <v>2714</v>
      </c>
      <c r="G202" s="701">
        <v>235</v>
      </c>
    </row>
    <row r="203" spans="1:7" outlineLevel="1" x14ac:dyDescent="0.2">
      <c r="A203" s="803"/>
      <c r="B203" s="712">
        <v>40685</v>
      </c>
      <c r="C203" t="s">
        <v>2825</v>
      </c>
      <c r="D203" t="s">
        <v>2824</v>
      </c>
      <c r="E203" t="s">
        <v>2707</v>
      </c>
      <c r="G203" s="701">
        <v>600</v>
      </c>
    </row>
    <row r="204" spans="1:7" outlineLevel="1" x14ac:dyDescent="0.2">
      <c r="A204" s="803"/>
      <c r="B204" s="712">
        <v>40685</v>
      </c>
      <c r="C204" s="713" t="s">
        <v>2706</v>
      </c>
      <c r="D204" t="s">
        <v>2784</v>
      </c>
      <c r="E204" s="713" t="s">
        <v>2700</v>
      </c>
      <c r="G204" s="701">
        <v>10000</v>
      </c>
    </row>
    <row r="205" spans="1:7" outlineLevel="1" x14ac:dyDescent="0.2">
      <c r="A205" s="803"/>
      <c r="B205" s="712">
        <v>40686</v>
      </c>
      <c r="D205"/>
    </row>
    <row r="206" spans="1:7" outlineLevel="1" x14ac:dyDescent="0.2">
      <c r="A206" s="803"/>
      <c r="B206" s="712">
        <v>40687</v>
      </c>
      <c r="C206" t="s">
        <v>367</v>
      </c>
      <c r="D206" t="s">
        <v>2707</v>
      </c>
      <c r="E206" t="s">
        <v>2707</v>
      </c>
      <c r="G206" s="701">
        <v>9066</v>
      </c>
    </row>
    <row r="207" spans="1:7" outlineLevel="1" x14ac:dyDescent="0.2">
      <c r="A207" s="803"/>
      <c r="B207" s="712">
        <v>40687</v>
      </c>
      <c r="C207" s="713" t="s">
        <v>2704</v>
      </c>
      <c r="D207" s="713" t="s">
        <v>2726</v>
      </c>
      <c r="E207" s="713" t="s">
        <v>2724</v>
      </c>
      <c r="G207" s="701">
        <v>1080</v>
      </c>
    </row>
    <row r="208" spans="1:7" outlineLevel="1" x14ac:dyDescent="0.2">
      <c r="A208" s="803"/>
      <c r="B208" s="712">
        <v>40687</v>
      </c>
      <c r="C208" s="718" t="s">
        <v>474</v>
      </c>
      <c r="D208" s="339" t="s">
        <v>2827</v>
      </c>
      <c r="E208" t="s">
        <v>2730</v>
      </c>
      <c r="F208" s="718"/>
      <c r="G208" s="701">
        <v>3500</v>
      </c>
    </row>
    <row r="209" spans="1:7" outlineLevel="1" x14ac:dyDescent="0.2">
      <c r="A209" s="803"/>
      <c r="B209" s="712">
        <v>40688</v>
      </c>
      <c r="C209" t="s">
        <v>2739</v>
      </c>
      <c r="D209" t="s">
        <v>2828</v>
      </c>
      <c r="E209" t="s">
        <v>1035</v>
      </c>
      <c r="G209" s="701">
        <v>2000</v>
      </c>
    </row>
    <row r="210" spans="1:7" outlineLevel="1" x14ac:dyDescent="0.2">
      <c r="A210" s="803"/>
      <c r="B210" s="712">
        <v>40688</v>
      </c>
      <c r="C210"/>
      <c r="D210" t="s">
        <v>2829</v>
      </c>
      <c r="E210" t="s">
        <v>2730</v>
      </c>
      <c r="G210" s="701">
        <v>1000</v>
      </c>
    </row>
    <row r="211" spans="1:7" outlineLevel="1" x14ac:dyDescent="0.2">
      <c r="A211" s="803"/>
      <c r="B211" s="712">
        <v>40688</v>
      </c>
      <c r="C211" t="s">
        <v>2830</v>
      </c>
      <c r="D211" t="s">
        <v>2707</v>
      </c>
      <c r="E211" t="s">
        <v>2707</v>
      </c>
      <c r="G211" s="701">
        <v>1300</v>
      </c>
    </row>
    <row r="212" spans="1:7" outlineLevel="1" x14ac:dyDescent="0.2">
      <c r="A212" s="803"/>
      <c r="B212" s="712">
        <v>40689</v>
      </c>
      <c r="C212" t="s">
        <v>2832</v>
      </c>
      <c r="D212" t="s">
        <v>2831</v>
      </c>
      <c r="E212" t="s">
        <v>2730</v>
      </c>
      <c r="G212" s="701">
        <v>6000</v>
      </c>
    </row>
    <row r="213" spans="1:7" outlineLevel="1" x14ac:dyDescent="0.2">
      <c r="A213" s="803"/>
      <c r="B213" s="712">
        <v>40689</v>
      </c>
      <c r="C213"/>
      <c r="D213" t="s">
        <v>2833</v>
      </c>
      <c r="E213" t="s">
        <v>2730</v>
      </c>
      <c r="G213" s="701">
        <v>2000</v>
      </c>
    </row>
    <row r="214" spans="1:7" outlineLevel="1" x14ac:dyDescent="0.2">
      <c r="A214" s="803"/>
      <c r="B214" s="712">
        <v>40689</v>
      </c>
      <c r="C214" s="713" t="s">
        <v>2712</v>
      </c>
      <c r="D214" t="s">
        <v>2713</v>
      </c>
      <c r="E214" s="713" t="s">
        <v>2714</v>
      </c>
      <c r="G214" s="701">
        <v>200</v>
      </c>
    </row>
    <row r="215" spans="1:7" outlineLevel="1" x14ac:dyDescent="0.2">
      <c r="A215" s="803"/>
      <c r="B215" s="712">
        <v>40689</v>
      </c>
      <c r="D215" t="s">
        <v>2834</v>
      </c>
      <c r="E215" s="713" t="s">
        <v>2730</v>
      </c>
      <c r="G215" s="701">
        <v>2100</v>
      </c>
    </row>
    <row r="216" spans="1:7" outlineLevel="1" x14ac:dyDescent="0.2">
      <c r="A216" s="803"/>
      <c r="B216" s="712">
        <v>40689</v>
      </c>
      <c r="D216" t="s">
        <v>2834</v>
      </c>
      <c r="E216" s="713" t="s">
        <v>2730</v>
      </c>
      <c r="G216" s="701">
        <v>1900</v>
      </c>
    </row>
    <row r="217" spans="1:7" outlineLevel="1" x14ac:dyDescent="0.2">
      <c r="A217" s="803"/>
      <c r="B217" s="712">
        <v>40689</v>
      </c>
      <c r="D217" t="s">
        <v>2835</v>
      </c>
      <c r="E217" s="713" t="s">
        <v>2722</v>
      </c>
      <c r="G217" s="701">
        <v>4100</v>
      </c>
    </row>
    <row r="218" spans="1:7" outlineLevel="1" x14ac:dyDescent="0.2">
      <c r="A218" s="803"/>
      <c r="B218" s="712">
        <v>40690</v>
      </c>
      <c r="D218"/>
    </row>
    <row r="219" spans="1:7" outlineLevel="1" x14ac:dyDescent="0.2">
      <c r="A219" s="803"/>
      <c r="B219" s="712">
        <v>40691</v>
      </c>
      <c r="D219"/>
    </row>
    <row r="220" spans="1:7" outlineLevel="1" x14ac:dyDescent="0.2">
      <c r="A220" s="803"/>
      <c r="B220" s="712">
        <v>40692</v>
      </c>
      <c r="C220" t="s">
        <v>2745</v>
      </c>
      <c r="D220" t="s">
        <v>2836</v>
      </c>
      <c r="E220" s="713" t="s">
        <v>2730</v>
      </c>
      <c r="G220" s="701">
        <v>2300</v>
      </c>
    </row>
    <row r="221" spans="1:7" outlineLevel="1" x14ac:dyDescent="0.2">
      <c r="A221" s="803"/>
      <c r="B221" s="712">
        <v>40692</v>
      </c>
      <c r="C221" t="s">
        <v>2745</v>
      </c>
      <c r="D221" t="s">
        <v>2837</v>
      </c>
      <c r="E221" s="713" t="s">
        <v>2730</v>
      </c>
      <c r="G221" s="701">
        <v>2500</v>
      </c>
    </row>
    <row r="222" spans="1:7" outlineLevel="1" x14ac:dyDescent="0.2">
      <c r="A222" s="803"/>
      <c r="B222" s="712">
        <v>40692</v>
      </c>
      <c r="C222" t="s">
        <v>2745</v>
      </c>
      <c r="D222" t="s">
        <v>2838</v>
      </c>
      <c r="E222" s="713" t="s">
        <v>2722</v>
      </c>
      <c r="G222" s="701">
        <v>2500</v>
      </c>
    </row>
    <row r="223" spans="1:7" outlineLevel="1" x14ac:dyDescent="0.2">
      <c r="A223" s="803"/>
      <c r="B223" s="712">
        <v>40692</v>
      </c>
      <c r="C223" t="s">
        <v>2745</v>
      </c>
      <c r="D223" t="s">
        <v>1035</v>
      </c>
      <c r="E223" t="s">
        <v>1035</v>
      </c>
      <c r="G223" s="701">
        <v>3200</v>
      </c>
    </row>
    <row r="224" spans="1:7" outlineLevel="1" x14ac:dyDescent="0.2">
      <c r="A224" s="803"/>
      <c r="B224" s="712">
        <v>40693</v>
      </c>
      <c r="C224" t="s">
        <v>367</v>
      </c>
      <c r="D224" t="s">
        <v>2707</v>
      </c>
      <c r="E224" t="s">
        <v>2707</v>
      </c>
      <c r="G224" s="701">
        <v>3388</v>
      </c>
    </row>
    <row r="225" spans="1:7" outlineLevel="1" x14ac:dyDescent="0.2">
      <c r="A225" s="803"/>
      <c r="B225" s="712">
        <v>40693</v>
      </c>
      <c r="C225" s="713" t="s">
        <v>2712</v>
      </c>
      <c r="D225" t="s">
        <v>2713</v>
      </c>
      <c r="E225" s="713" t="s">
        <v>2714</v>
      </c>
      <c r="G225" s="701">
        <v>1515</v>
      </c>
    </row>
    <row r="226" spans="1:7" outlineLevel="1" x14ac:dyDescent="0.2">
      <c r="A226" s="803"/>
      <c r="B226" s="712">
        <v>40694</v>
      </c>
      <c r="C226" s="713" t="s">
        <v>2706</v>
      </c>
      <c r="D226" t="s">
        <v>2784</v>
      </c>
      <c r="E226" s="713" t="s">
        <v>2700</v>
      </c>
      <c r="G226" s="701">
        <v>10000</v>
      </c>
    </row>
    <row r="227" spans="1:7" outlineLevel="1" x14ac:dyDescent="0.2">
      <c r="A227" s="803"/>
      <c r="B227" s="712">
        <v>40694</v>
      </c>
      <c r="C227" t="s">
        <v>2732</v>
      </c>
      <c r="D227" t="s">
        <v>2729</v>
      </c>
      <c r="E227" t="s">
        <v>2730</v>
      </c>
      <c r="G227" s="701">
        <v>1500</v>
      </c>
    </row>
    <row r="228" spans="1:7" outlineLevel="1" x14ac:dyDescent="0.2">
      <c r="A228" s="803"/>
      <c r="B228" s="712">
        <v>40695</v>
      </c>
      <c r="C228" t="s">
        <v>2770</v>
      </c>
      <c r="D228" t="s">
        <v>2713</v>
      </c>
      <c r="E228" s="713" t="s">
        <v>2714</v>
      </c>
      <c r="G228" s="701">
        <v>2600</v>
      </c>
    </row>
    <row r="229" spans="1:7" outlineLevel="1" x14ac:dyDescent="0.2">
      <c r="A229" s="803"/>
      <c r="B229" s="712">
        <v>40695</v>
      </c>
      <c r="C229" t="s">
        <v>367</v>
      </c>
      <c r="D229" t="s">
        <v>2707</v>
      </c>
      <c r="E229" t="s">
        <v>2707</v>
      </c>
      <c r="G229" s="701">
        <v>1500</v>
      </c>
    </row>
    <row r="230" spans="1:7" outlineLevel="1" x14ac:dyDescent="0.2">
      <c r="A230" s="803"/>
      <c r="B230" s="712">
        <v>40695</v>
      </c>
      <c r="C230" s="713" t="s">
        <v>2712</v>
      </c>
      <c r="D230" t="s">
        <v>2713</v>
      </c>
      <c r="E230" s="713" t="s">
        <v>2714</v>
      </c>
      <c r="G230" s="701">
        <v>2245</v>
      </c>
    </row>
    <row r="231" spans="1:7" outlineLevel="1" x14ac:dyDescent="0.2">
      <c r="A231" s="803"/>
      <c r="B231" s="712">
        <v>40696</v>
      </c>
      <c r="C231" s="713" t="s">
        <v>2839</v>
      </c>
      <c r="D231" t="s">
        <v>2840</v>
      </c>
      <c r="E231" s="713" t="s">
        <v>1035</v>
      </c>
      <c r="G231" s="701">
        <v>3980</v>
      </c>
    </row>
    <row r="232" spans="1:7" outlineLevel="1" x14ac:dyDescent="0.2">
      <c r="A232" s="803"/>
      <c r="B232" s="712">
        <v>40696</v>
      </c>
      <c r="C232" t="s">
        <v>2842</v>
      </c>
      <c r="D232" t="s">
        <v>2841</v>
      </c>
      <c r="E232" s="713" t="s">
        <v>1035</v>
      </c>
      <c r="G232" s="701">
        <v>650</v>
      </c>
    </row>
    <row r="233" spans="1:7" outlineLevel="1" x14ac:dyDescent="0.2">
      <c r="A233" s="803"/>
      <c r="B233" s="712">
        <v>40696</v>
      </c>
      <c r="C233" t="s">
        <v>479</v>
      </c>
      <c r="D233"/>
      <c r="E233" s="713" t="s">
        <v>2719</v>
      </c>
      <c r="G233" s="701">
        <v>907</v>
      </c>
    </row>
    <row r="234" spans="1:7" outlineLevel="1" x14ac:dyDescent="0.2">
      <c r="A234" s="803"/>
      <c r="B234" s="712">
        <v>40696</v>
      </c>
      <c r="D234" t="s">
        <v>2843</v>
      </c>
      <c r="E234" t="s">
        <v>1035</v>
      </c>
      <c r="G234" s="701">
        <v>300</v>
      </c>
    </row>
    <row r="235" spans="1:7" outlineLevel="1" x14ac:dyDescent="0.2">
      <c r="A235" s="803"/>
      <c r="B235" s="712">
        <v>40696</v>
      </c>
      <c r="C235" s="713" t="s">
        <v>2844</v>
      </c>
      <c r="D235" t="s">
        <v>2845</v>
      </c>
      <c r="E235" t="s">
        <v>1035</v>
      </c>
      <c r="G235" s="701">
        <v>2500</v>
      </c>
    </row>
    <row r="236" spans="1:7" outlineLevel="1" x14ac:dyDescent="0.2">
      <c r="A236" s="803"/>
      <c r="B236" s="712">
        <v>40697</v>
      </c>
      <c r="C236" t="s">
        <v>479</v>
      </c>
      <c r="D236"/>
      <c r="E236" s="713" t="s">
        <v>2719</v>
      </c>
      <c r="G236" s="701">
        <v>3585</v>
      </c>
    </row>
    <row r="237" spans="1:7" outlineLevel="1" x14ac:dyDescent="0.2">
      <c r="A237" s="803"/>
      <c r="B237" s="712">
        <v>40697</v>
      </c>
      <c r="C237" t="s">
        <v>367</v>
      </c>
      <c r="D237" t="s">
        <v>2707</v>
      </c>
      <c r="E237" t="s">
        <v>2707</v>
      </c>
      <c r="G237" s="701">
        <v>3300</v>
      </c>
    </row>
    <row r="238" spans="1:7" outlineLevel="1" x14ac:dyDescent="0.2">
      <c r="A238" s="803"/>
      <c r="B238" s="712">
        <v>40697</v>
      </c>
      <c r="C238" t="s">
        <v>367</v>
      </c>
      <c r="D238" t="s">
        <v>2846</v>
      </c>
      <c r="E238" t="s">
        <v>1035</v>
      </c>
      <c r="G238" s="701">
        <v>2100</v>
      </c>
    </row>
    <row r="239" spans="1:7" outlineLevel="1" x14ac:dyDescent="0.2">
      <c r="A239" s="803"/>
      <c r="B239" s="712">
        <v>40697</v>
      </c>
      <c r="C239" s="713" t="s">
        <v>2704</v>
      </c>
      <c r="D239" s="713" t="s">
        <v>2726</v>
      </c>
      <c r="E239" s="713" t="s">
        <v>2724</v>
      </c>
      <c r="G239" s="701">
        <v>600</v>
      </c>
    </row>
    <row r="240" spans="1:7" outlineLevel="1" x14ac:dyDescent="0.2">
      <c r="A240" s="803"/>
      <c r="B240" s="712">
        <v>40698</v>
      </c>
      <c r="D240"/>
    </row>
    <row r="241" spans="1:7" outlineLevel="1" x14ac:dyDescent="0.2">
      <c r="A241" s="803"/>
      <c r="B241" s="712">
        <v>40699</v>
      </c>
      <c r="C241" s="713" t="s">
        <v>1656</v>
      </c>
      <c r="D241" t="s">
        <v>2847</v>
      </c>
      <c r="E241" s="713" t="s">
        <v>2730</v>
      </c>
      <c r="G241" s="701">
        <v>10380</v>
      </c>
    </row>
    <row r="242" spans="1:7" outlineLevel="1" x14ac:dyDescent="0.2">
      <c r="A242" s="803"/>
      <c r="B242" s="712">
        <v>40699</v>
      </c>
      <c r="C242" s="713" t="s">
        <v>1656</v>
      </c>
      <c r="D242" t="s">
        <v>2848</v>
      </c>
      <c r="E242" t="s">
        <v>2750</v>
      </c>
      <c r="G242" s="701">
        <v>859</v>
      </c>
    </row>
    <row r="243" spans="1:7" outlineLevel="1" x14ac:dyDescent="0.2">
      <c r="A243" s="803"/>
      <c r="B243" s="712">
        <v>40699</v>
      </c>
      <c r="C243" s="713" t="s">
        <v>2849</v>
      </c>
      <c r="D243" t="s">
        <v>2850</v>
      </c>
      <c r="E243" t="s">
        <v>2730</v>
      </c>
      <c r="G243" s="701">
        <v>1790</v>
      </c>
    </row>
    <row r="244" spans="1:7" outlineLevel="1" x14ac:dyDescent="0.2">
      <c r="A244" s="803"/>
      <c r="B244" s="712">
        <v>40699</v>
      </c>
      <c r="C244" s="713" t="s">
        <v>2849</v>
      </c>
      <c r="D244" t="s">
        <v>2851</v>
      </c>
      <c r="E244" t="s">
        <v>2730</v>
      </c>
      <c r="G244" s="701">
        <v>1780</v>
      </c>
    </row>
    <row r="245" spans="1:7" outlineLevel="1" x14ac:dyDescent="0.2">
      <c r="A245" s="803"/>
      <c r="B245" s="712">
        <v>40699</v>
      </c>
      <c r="D245" t="s">
        <v>2796</v>
      </c>
      <c r="E245" t="s">
        <v>2707</v>
      </c>
      <c r="G245" s="701">
        <v>340</v>
      </c>
    </row>
    <row r="246" spans="1:7" outlineLevel="1" x14ac:dyDescent="0.2">
      <c r="A246" s="803"/>
      <c r="B246" s="712">
        <v>40700</v>
      </c>
      <c r="C246" t="s">
        <v>367</v>
      </c>
      <c r="D246" t="s">
        <v>2707</v>
      </c>
      <c r="E246" t="s">
        <v>2707</v>
      </c>
      <c r="G246" s="701">
        <v>4757</v>
      </c>
    </row>
    <row r="247" spans="1:7" outlineLevel="1" x14ac:dyDescent="0.2">
      <c r="A247" s="803"/>
      <c r="B247" s="712">
        <v>40700</v>
      </c>
      <c r="C247" t="s">
        <v>2708</v>
      </c>
      <c r="D247" s="713" t="s">
        <v>2709</v>
      </c>
      <c r="E247" s="713" t="s">
        <v>2709</v>
      </c>
      <c r="G247" s="701">
        <v>1400</v>
      </c>
    </row>
    <row r="248" spans="1:7" outlineLevel="1" x14ac:dyDescent="0.2">
      <c r="A248" s="803"/>
      <c r="B248" s="712">
        <v>40700</v>
      </c>
      <c r="C248" s="713" t="s">
        <v>2704</v>
      </c>
      <c r="D248" s="713" t="s">
        <v>2726</v>
      </c>
      <c r="E248" s="713" t="s">
        <v>2724</v>
      </c>
      <c r="G248" s="701">
        <v>100</v>
      </c>
    </row>
    <row r="249" spans="1:7" outlineLevel="1" x14ac:dyDescent="0.2">
      <c r="A249" s="803"/>
      <c r="B249" s="712">
        <v>40701</v>
      </c>
      <c r="C249" t="s">
        <v>2732</v>
      </c>
      <c r="D249" t="s">
        <v>2790</v>
      </c>
      <c r="E249" t="s">
        <v>2730</v>
      </c>
      <c r="G249" s="701">
        <v>6500</v>
      </c>
    </row>
    <row r="250" spans="1:7" outlineLevel="1" x14ac:dyDescent="0.2">
      <c r="A250" s="803"/>
      <c r="B250" s="712">
        <v>40701</v>
      </c>
      <c r="C250" s="713" t="s">
        <v>2712</v>
      </c>
      <c r="D250" t="s">
        <v>2713</v>
      </c>
      <c r="E250" s="713" t="s">
        <v>2714</v>
      </c>
      <c r="G250" s="701">
        <v>1200</v>
      </c>
    </row>
    <row r="251" spans="1:7" outlineLevel="1" x14ac:dyDescent="0.2">
      <c r="A251" s="803"/>
      <c r="B251" s="712">
        <v>40701</v>
      </c>
      <c r="C251" s="713" t="s">
        <v>383</v>
      </c>
      <c r="D251" t="s">
        <v>2852</v>
      </c>
      <c r="E251" s="713" t="s">
        <v>2750</v>
      </c>
      <c r="G251" s="701">
        <v>6410</v>
      </c>
    </row>
    <row r="252" spans="1:7" outlineLevel="1" x14ac:dyDescent="0.2">
      <c r="A252" s="803"/>
      <c r="B252" s="712">
        <v>40701</v>
      </c>
      <c r="C252" s="713" t="s">
        <v>1815</v>
      </c>
      <c r="D252" t="s">
        <v>2853</v>
      </c>
      <c r="E252" s="713" t="s">
        <v>2750</v>
      </c>
      <c r="G252" s="701">
        <v>1330</v>
      </c>
    </row>
    <row r="253" spans="1:7" outlineLevel="1" x14ac:dyDescent="0.2">
      <c r="A253" s="803"/>
      <c r="B253" s="712">
        <v>40702</v>
      </c>
      <c r="D253"/>
    </row>
    <row r="254" spans="1:7" outlineLevel="1" x14ac:dyDescent="0.2">
      <c r="A254" s="803"/>
      <c r="B254" s="712">
        <v>40703</v>
      </c>
      <c r="C254" t="s">
        <v>367</v>
      </c>
      <c r="D254" t="s">
        <v>2707</v>
      </c>
      <c r="E254" t="s">
        <v>2707</v>
      </c>
      <c r="G254" s="701">
        <v>4435</v>
      </c>
    </row>
    <row r="255" spans="1:7" outlineLevel="1" x14ac:dyDescent="0.2">
      <c r="A255" s="803"/>
      <c r="B255" s="712">
        <v>40704</v>
      </c>
      <c r="D255"/>
    </row>
    <row r="256" spans="1:7" outlineLevel="1" x14ac:dyDescent="0.2">
      <c r="A256" s="803"/>
      <c r="B256" s="712">
        <v>40705</v>
      </c>
      <c r="C256" s="713" t="s">
        <v>2854</v>
      </c>
      <c r="D256" t="s">
        <v>2856</v>
      </c>
      <c r="E256" t="s">
        <v>2707</v>
      </c>
      <c r="G256" s="701">
        <v>3500</v>
      </c>
    </row>
    <row r="257" spans="1:7" outlineLevel="1" x14ac:dyDescent="0.2">
      <c r="A257" s="803"/>
      <c r="B257" s="712">
        <v>40705</v>
      </c>
      <c r="C257" s="713" t="s">
        <v>2854</v>
      </c>
      <c r="D257" t="s">
        <v>427</v>
      </c>
      <c r="E257" t="s">
        <v>2707</v>
      </c>
      <c r="G257" s="701">
        <v>1000</v>
      </c>
    </row>
    <row r="258" spans="1:7" outlineLevel="1" x14ac:dyDescent="0.2">
      <c r="A258" s="803"/>
      <c r="B258" s="712">
        <v>40706</v>
      </c>
      <c r="G258" s="713"/>
    </row>
    <row r="259" spans="1:7" outlineLevel="1" x14ac:dyDescent="0.2">
      <c r="A259" s="803"/>
      <c r="B259" s="712">
        <v>40707</v>
      </c>
      <c r="C259" s="713" t="s">
        <v>2854</v>
      </c>
      <c r="D259" t="s">
        <v>154</v>
      </c>
      <c r="E259" t="s">
        <v>2730</v>
      </c>
      <c r="G259" s="701">
        <v>17500</v>
      </c>
    </row>
    <row r="260" spans="1:7" outlineLevel="1" x14ac:dyDescent="0.2">
      <c r="A260" s="803"/>
      <c r="B260" s="712">
        <v>40707</v>
      </c>
      <c r="C260" s="713" t="s">
        <v>2854</v>
      </c>
      <c r="D260" t="s">
        <v>2855</v>
      </c>
      <c r="E260" t="s">
        <v>2707</v>
      </c>
      <c r="G260" s="701">
        <v>3300</v>
      </c>
    </row>
    <row r="261" spans="1:7" outlineLevel="1" x14ac:dyDescent="0.2">
      <c r="A261" s="803"/>
      <c r="B261" s="712">
        <v>40707</v>
      </c>
      <c r="C261" s="713" t="s">
        <v>2854</v>
      </c>
      <c r="D261" t="s">
        <v>2857</v>
      </c>
      <c r="E261" t="s">
        <v>1035</v>
      </c>
      <c r="G261" s="701">
        <v>2700</v>
      </c>
    </row>
    <row r="262" spans="1:7" outlineLevel="1" x14ac:dyDescent="0.2">
      <c r="A262" s="803"/>
      <c r="B262" s="712">
        <v>40707</v>
      </c>
      <c r="C262" s="713" t="s">
        <v>2854</v>
      </c>
      <c r="D262" t="s">
        <v>2856</v>
      </c>
      <c r="E262" t="s">
        <v>2707</v>
      </c>
      <c r="G262" s="701">
        <v>2700</v>
      </c>
    </row>
    <row r="263" spans="1:7" outlineLevel="1" x14ac:dyDescent="0.2">
      <c r="A263" s="803"/>
      <c r="B263" s="712">
        <v>40707</v>
      </c>
      <c r="C263" s="713" t="s">
        <v>2854</v>
      </c>
      <c r="D263" t="s">
        <v>427</v>
      </c>
      <c r="E263" t="s">
        <v>2707</v>
      </c>
      <c r="G263" s="701">
        <v>2000</v>
      </c>
    </row>
    <row r="264" spans="1:7" outlineLevel="1" x14ac:dyDescent="0.2">
      <c r="A264" s="803"/>
      <c r="B264" s="712">
        <v>40707</v>
      </c>
      <c r="C264" s="713" t="s">
        <v>2706</v>
      </c>
      <c r="D264" t="s">
        <v>2784</v>
      </c>
      <c r="E264" s="713" t="s">
        <v>2700</v>
      </c>
      <c r="G264" s="701">
        <v>10000</v>
      </c>
    </row>
    <row r="265" spans="1:7" outlineLevel="1" x14ac:dyDescent="0.2">
      <c r="A265" s="803"/>
      <c r="B265" s="712">
        <v>40708</v>
      </c>
      <c r="C265" t="s">
        <v>367</v>
      </c>
      <c r="D265" t="s">
        <v>2707</v>
      </c>
      <c r="E265" t="s">
        <v>2707</v>
      </c>
      <c r="G265" s="701">
        <v>4995</v>
      </c>
    </row>
    <row r="266" spans="1:7" outlineLevel="1" x14ac:dyDescent="0.2">
      <c r="A266" s="803"/>
      <c r="B266" s="712">
        <v>40708</v>
      </c>
      <c r="C266" s="713" t="s">
        <v>2712</v>
      </c>
      <c r="D266" t="s">
        <v>2713</v>
      </c>
      <c r="E266" s="713" t="s">
        <v>2714</v>
      </c>
      <c r="G266" s="701">
        <v>4840</v>
      </c>
    </row>
    <row r="267" spans="1:7" outlineLevel="1" x14ac:dyDescent="0.2">
      <c r="A267" s="803"/>
      <c r="B267" s="712">
        <v>40709</v>
      </c>
      <c r="C267" t="s">
        <v>2858</v>
      </c>
      <c r="D267" t="s">
        <v>2859</v>
      </c>
      <c r="E267" s="713" t="s">
        <v>2750</v>
      </c>
      <c r="G267" s="701">
        <v>24000</v>
      </c>
    </row>
    <row r="268" spans="1:7" outlineLevel="1" x14ac:dyDescent="0.2">
      <c r="A268" s="803"/>
      <c r="B268" s="712">
        <v>40710</v>
      </c>
      <c r="C268" t="s">
        <v>2798</v>
      </c>
      <c r="D268" t="s">
        <v>2799</v>
      </c>
      <c r="E268" t="s">
        <v>1035</v>
      </c>
      <c r="G268" s="701">
        <v>3000</v>
      </c>
    </row>
    <row r="269" spans="1:7" outlineLevel="1" x14ac:dyDescent="0.2">
      <c r="A269" s="803"/>
      <c r="B269" s="712">
        <v>40710</v>
      </c>
      <c r="C269" t="s">
        <v>376</v>
      </c>
      <c r="D269" t="s">
        <v>2864</v>
      </c>
      <c r="E269" t="s">
        <v>2750</v>
      </c>
      <c r="G269" s="701">
        <v>1640</v>
      </c>
    </row>
    <row r="270" spans="1:7" outlineLevel="1" x14ac:dyDescent="0.2">
      <c r="A270" s="803"/>
      <c r="B270" s="712">
        <v>40710</v>
      </c>
      <c r="C270" t="s">
        <v>479</v>
      </c>
      <c r="D270"/>
      <c r="E270" s="713" t="s">
        <v>2719</v>
      </c>
      <c r="G270" s="701">
        <v>7433</v>
      </c>
    </row>
    <row r="271" spans="1:7" outlineLevel="1" x14ac:dyDescent="0.2">
      <c r="A271" s="803"/>
      <c r="B271" s="712">
        <v>40710</v>
      </c>
      <c r="C271" t="s">
        <v>2229</v>
      </c>
      <c r="D271" t="s">
        <v>2707</v>
      </c>
      <c r="E271" t="s">
        <v>2707</v>
      </c>
      <c r="G271" s="701">
        <v>4500</v>
      </c>
    </row>
    <row r="272" spans="1:7" outlineLevel="1" x14ac:dyDescent="0.2">
      <c r="A272" s="803"/>
      <c r="B272" s="712">
        <v>40710</v>
      </c>
      <c r="C272" t="s">
        <v>2229</v>
      </c>
      <c r="D272" t="s">
        <v>2865</v>
      </c>
      <c r="E272" t="s">
        <v>2722</v>
      </c>
      <c r="G272" s="701">
        <v>1200</v>
      </c>
    </row>
    <row r="273" spans="1:7" outlineLevel="1" x14ac:dyDescent="0.2">
      <c r="A273" s="803"/>
      <c r="B273" s="712">
        <v>40711</v>
      </c>
      <c r="C273" s="713" t="s">
        <v>2849</v>
      </c>
      <c r="D273" t="s">
        <v>2866</v>
      </c>
      <c r="E273" t="s">
        <v>2722</v>
      </c>
      <c r="G273" s="701">
        <v>19200</v>
      </c>
    </row>
    <row r="274" spans="1:7" outlineLevel="1" x14ac:dyDescent="0.2">
      <c r="A274" s="803"/>
      <c r="B274" s="712">
        <v>40711</v>
      </c>
      <c r="C274" s="713" t="s">
        <v>2802</v>
      </c>
      <c r="D274" t="s">
        <v>2867</v>
      </c>
      <c r="E274" t="s">
        <v>2730</v>
      </c>
      <c r="G274" s="701">
        <v>760</v>
      </c>
    </row>
    <row r="275" spans="1:7" outlineLevel="1" x14ac:dyDescent="0.2">
      <c r="A275" s="803"/>
      <c r="B275" s="712">
        <v>40712</v>
      </c>
      <c r="C275" t="s">
        <v>367</v>
      </c>
      <c r="D275" t="s">
        <v>2707</v>
      </c>
      <c r="E275" t="s">
        <v>2707</v>
      </c>
      <c r="G275" s="701">
        <v>3744</v>
      </c>
    </row>
    <row r="276" spans="1:7" outlineLevel="1" x14ac:dyDescent="0.2">
      <c r="A276" s="803"/>
      <c r="B276" s="712">
        <v>40712</v>
      </c>
      <c r="C276" t="s">
        <v>2868</v>
      </c>
      <c r="D276" t="s">
        <v>2869</v>
      </c>
      <c r="E276" t="s">
        <v>2730</v>
      </c>
      <c r="G276" s="701">
        <v>2800</v>
      </c>
    </row>
    <row r="277" spans="1:7" outlineLevel="1" x14ac:dyDescent="0.2">
      <c r="A277" s="803"/>
      <c r="B277" s="712">
        <v>40713</v>
      </c>
      <c r="D277"/>
    </row>
    <row r="278" spans="1:7" outlineLevel="1" x14ac:dyDescent="0.2">
      <c r="A278" s="803"/>
      <c r="B278" s="712">
        <v>40714</v>
      </c>
      <c r="C278" t="s">
        <v>1675</v>
      </c>
      <c r="D278" t="s">
        <v>2707</v>
      </c>
      <c r="E278" t="s">
        <v>2707</v>
      </c>
      <c r="G278" s="701">
        <v>4827</v>
      </c>
    </row>
    <row r="279" spans="1:7" outlineLevel="1" x14ac:dyDescent="0.2">
      <c r="A279" s="803"/>
      <c r="B279" s="712">
        <v>40715</v>
      </c>
      <c r="D279" t="s">
        <v>2874</v>
      </c>
      <c r="E279" t="s">
        <v>2707</v>
      </c>
      <c r="G279" s="701">
        <v>400</v>
      </c>
    </row>
    <row r="280" spans="1:7" outlineLevel="1" x14ac:dyDescent="0.2">
      <c r="A280" s="803"/>
      <c r="B280" s="712">
        <v>40715</v>
      </c>
      <c r="C280" s="713" t="s">
        <v>2712</v>
      </c>
      <c r="D280" t="s">
        <v>2713</v>
      </c>
      <c r="E280" s="713" t="s">
        <v>2714</v>
      </c>
      <c r="G280" s="701">
        <v>1000</v>
      </c>
    </row>
    <row r="281" spans="1:7" outlineLevel="1" x14ac:dyDescent="0.2">
      <c r="A281" s="803"/>
      <c r="B281" s="712">
        <v>40715</v>
      </c>
      <c r="C281" t="s">
        <v>2874</v>
      </c>
      <c r="D281" t="s">
        <v>2874</v>
      </c>
      <c r="E281" t="s">
        <v>1035</v>
      </c>
      <c r="G281" s="701">
        <v>19600</v>
      </c>
    </row>
    <row r="282" spans="1:7" outlineLevel="1" x14ac:dyDescent="0.2">
      <c r="A282" s="803"/>
      <c r="B282" s="712">
        <v>40715</v>
      </c>
      <c r="C282" s="713" t="s">
        <v>2706</v>
      </c>
      <c r="D282" t="s">
        <v>2784</v>
      </c>
      <c r="E282" s="713" t="s">
        <v>2700</v>
      </c>
      <c r="G282" s="701">
        <v>10000</v>
      </c>
    </row>
    <row r="283" spans="1:7" outlineLevel="1" x14ac:dyDescent="0.2">
      <c r="A283" s="803"/>
      <c r="B283" s="712">
        <v>40716</v>
      </c>
      <c r="D283" t="s">
        <v>2876</v>
      </c>
      <c r="E283" t="s">
        <v>2707</v>
      </c>
      <c r="G283" s="701">
        <v>150</v>
      </c>
    </row>
    <row r="284" spans="1:7" outlineLevel="1" x14ac:dyDescent="0.2">
      <c r="A284" s="803"/>
      <c r="B284" s="712">
        <v>40716</v>
      </c>
      <c r="D284" t="s">
        <v>2878</v>
      </c>
      <c r="E284" t="s">
        <v>1035</v>
      </c>
      <c r="G284" s="701">
        <v>3000</v>
      </c>
    </row>
    <row r="285" spans="1:7" outlineLevel="1" x14ac:dyDescent="0.2">
      <c r="A285" s="803"/>
      <c r="B285" s="712">
        <v>40716</v>
      </c>
      <c r="D285" t="s">
        <v>2877</v>
      </c>
      <c r="E285" t="s">
        <v>2722</v>
      </c>
      <c r="G285" s="701">
        <v>2200</v>
      </c>
    </row>
    <row r="286" spans="1:7" outlineLevel="1" x14ac:dyDescent="0.2">
      <c r="A286" s="803"/>
      <c r="B286" s="712">
        <v>40716</v>
      </c>
      <c r="C286" s="713" t="s">
        <v>2712</v>
      </c>
      <c r="D286" t="s">
        <v>2713</v>
      </c>
      <c r="E286" s="713" t="s">
        <v>2714</v>
      </c>
      <c r="G286" s="701">
        <v>1200</v>
      </c>
    </row>
    <row r="287" spans="1:7" outlineLevel="1" x14ac:dyDescent="0.2">
      <c r="A287" s="803"/>
      <c r="B287" s="712">
        <v>40717</v>
      </c>
      <c r="C287" t="s">
        <v>367</v>
      </c>
      <c r="D287" t="s">
        <v>2707</v>
      </c>
      <c r="E287" t="s">
        <v>2707</v>
      </c>
      <c r="G287" s="701">
        <v>2570</v>
      </c>
    </row>
    <row r="288" spans="1:7" outlineLevel="1" x14ac:dyDescent="0.2">
      <c r="A288" s="803"/>
      <c r="B288" s="712">
        <v>40717</v>
      </c>
      <c r="C288" t="s">
        <v>2879</v>
      </c>
      <c r="D288" t="s">
        <v>2880</v>
      </c>
      <c r="E288" t="s">
        <v>1035</v>
      </c>
      <c r="G288" s="701">
        <v>33000</v>
      </c>
    </row>
    <row r="289" spans="1:8" outlineLevel="1" x14ac:dyDescent="0.2">
      <c r="A289" s="803"/>
      <c r="B289" s="712">
        <v>40717</v>
      </c>
      <c r="C289" t="s">
        <v>2717</v>
      </c>
      <c r="D289" t="s">
        <v>2718</v>
      </c>
      <c r="E289" t="s">
        <v>2719</v>
      </c>
      <c r="G289" s="701">
        <v>5390</v>
      </c>
    </row>
    <row r="290" spans="1:8" outlineLevel="1" x14ac:dyDescent="0.2">
      <c r="A290" s="803"/>
      <c r="B290" s="712">
        <v>40717</v>
      </c>
      <c r="C290" t="s">
        <v>2881</v>
      </c>
      <c r="D290" t="s">
        <v>2860</v>
      </c>
      <c r="E290" s="713" t="s">
        <v>2750</v>
      </c>
      <c r="G290" s="701">
        <v>91150</v>
      </c>
      <c r="H290" s="617" t="s">
        <v>2918</v>
      </c>
    </row>
    <row r="291" spans="1:8" outlineLevel="1" x14ac:dyDescent="0.2">
      <c r="A291" s="803"/>
      <c r="B291" s="712">
        <v>40717</v>
      </c>
      <c r="C291" t="s">
        <v>2881</v>
      </c>
      <c r="D291" t="s">
        <v>2901</v>
      </c>
      <c r="E291" s="713" t="s">
        <v>2750</v>
      </c>
      <c r="G291" s="701">
        <v>43200</v>
      </c>
    </row>
    <row r="292" spans="1:8" outlineLevel="1" x14ac:dyDescent="0.2">
      <c r="A292" s="803"/>
      <c r="B292" s="712">
        <v>40717</v>
      </c>
      <c r="C292" t="s">
        <v>2883</v>
      </c>
      <c r="D292" t="s">
        <v>2882</v>
      </c>
      <c r="E292" s="713" t="s">
        <v>1035</v>
      </c>
      <c r="G292" s="701">
        <v>1170</v>
      </c>
    </row>
    <row r="293" spans="1:8" outlineLevel="1" x14ac:dyDescent="0.2">
      <c r="A293" s="803"/>
      <c r="B293" s="712">
        <v>40717</v>
      </c>
      <c r="C293" t="s">
        <v>2798</v>
      </c>
      <c r="D293" t="s">
        <v>2799</v>
      </c>
      <c r="E293" t="s">
        <v>1035</v>
      </c>
      <c r="G293" s="701">
        <v>3000</v>
      </c>
    </row>
    <row r="294" spans="1:8" outlineLevel="1" x14ac:dyDescent="0.2">
      <c r="A294" s="803"/>
      <c r="B294" s="712">
        <v>40718</v>
      </c>
      <c r="C294" t="s">
        <v>367</v>
      </c>
      <c r="D294" t="s">
        <v>2707</v>
      </c>
      <c r="E294" t="s">
        <v>2707</v>
      </c>
      <c r="G294" s="701">
        <v>10357</v>
      </c>
    </row>
    <row r="295" spans="1:8" outlineLevel="1" x14ac:dyDescent="0.2">
      <c r="A295" s="803"/>
      <c r="B295" s="712">
        <v>40718</v>
      </c>
      <c r="C295" s="713" t="s">
        <v>2712</v>
      </c>
      <c r="D295" t="s">
        <v>2713</v>
      </c>
      <c r="E295" s="713" t="s">
        <v>2714</v>
      </c>
      <c r="G295" s="701">
        <v>2550</v>
      </c>
    </row>
    <row r="296" spans="1:8" outlineLevel="1" x14ac:dyDescent="0.2">
      <c r="A296" s="803"/>
      <c r="B296" s="712">
        <v>40718</v>
      </c>
      <c r="C296" t="s">
        <v>2758</v>
      </c>
      <c r="D296" s="713" t="s">
        <v>2759</v>
      </c>
      <c r="E296" s="713" t="s">
        <v>2707</v>
      </c>
      <c r="G296" s="701">
        <v>8525</v>
      </c>
    </row>
    <row r="297" spans="1:8" outlineLevel="1" x14ac:dyDescent="0.2">
      <c r="A297" s="803"/>
      <c r="B297" s="712">
        <v>40718</v>
      </c>
      <c r="C297" t="s">
        <v>2885</v>
      </c>
      <c r="D297" t="s">
        <v>2886</v>
      </c>
      <c r="E297" t="s">
        <v>1035</v>
      </c>
      <c r="G297" s="701">
        <v>1280</v>
      </c>
    </row>
    <row r="298" spans="1:8" outlineLevel="1" x14ac:dyDescent="0.2">
      <c r="A298" s="803"/>
      <c r="B298" s="712">
        <v>40719</v>
      </c>
      <c r="D298"/>
    </row>
    <row r="299" spans="1:8" outlineLevel="1" x14ac:dyDescent="0.2">
      <c r="A299" s="803"/>
      <c r="B299" s="712">
        <v>40720</v>
      </c>
      <c r="D299"/>
    </row>
    <row r="300" spans="1:8" outlineLevel="1" x14ac:dyDescent="0.2">
      <c r="A300" s="803"/>
      <c r="B300" s="712">
        <v>40721</v>
      </c>
      <c r="C300" t="s">
        <v>367</v>
      </c>
      <c r="D300" t="s">
        <v>2707</v>
      </c>
      <c r="E300" t="s">
        <v>2707</v>
      </c>
      <c r="G300" s="701">
        <v>3578</v>
      </c>
    </row>
    <row r="301" spans="1:8" outlineLevel="1" x14ac:dyDescent="0.2">
      <c r="A301" s="803"/>
      <c r="B301" s="712">
        <v>40721</v>
      </c>
      <c r="C301" t="s">
        <v>2888</v>
      </c>
      <c r="D301" t="s">
        <v>2887</v>
      </c>
      <c r="E301" t="s">
        <v>1035</v>
      </c>
      <c r="G301" s="701">
        <v>585</v>
      </c>
    </row>
    <row r="302" spans="1:8" outlineLevel="1" x14ac:dyDescent="0.2">
      <c r="A302" s="803"/>
      <c r="B302" s="712">
        <v>40721</v>
      </c>
      <c r="C302" t="s">
        <v>1120</v>
      </c>
      <c r="D302" t="s">
        <v>2889</v>
      </c>
      <c r="E302" t="s">
        <v>2750</v>
      </c>
      <c r="G302" s="701">
        <v>590</v>
      </c>
    </row>
    <row r="303" spans="1:8" outlineLevel="1" x14ac:dyDescent="0.2">
      <c r="A303" s="803"/>
      <c r="B303" s="712">
        <v>40721</v>
      </c>
      <c r="C303" t="s">
        <v>2732</v>
      </c>
      <c r="D303" t="s">
        <v>2891</v>
      </c>
      <c r="E303" t="s">
        <v>2730</v>
      </c>
      <c r="G303" s="701">
        <v>1200</v>
      </c>
    </row>
    <row r="304" spans="1:8" outlineLevel="1" x14ac:dyDescent="0.2">
      <c r="A304" s="803"/>
      <c r="B304" s="712">
        <v>40721</v>
      </c>
      <c r="C304" t="s">
        <v>2896</v>
      </c>
      <c r="D304" t="s">
        <v>2892</v>
      </c>
      <c r="E304" t="s">
        <v>2730</v>
      </c>
      <c r="G304" s="701">
        <v>2000</v>
      </c>
    </row>
    <row r="305" spans="1:8" outlineLevel="1" x14ac:dyDescent="0.2">
      <c r="A305" s="803"/>
      <c r="B305" s="712">
        <v>40722</v>
      </c>
      <c r="C305" s="713" t="s">
        <v>2712</v>
      </c>
      <c r="D305" t="s">
        <v>2713</v>
      </c>
      <c r="E305" s="713" t="s">
        <v>2714</v>
      </c>
      <c r="G305" s="701">
        <v>2055</v>
      </c>
    </row>
    <row r="306" spans="1:8" outlineLevel="1" x14ac:dyDescent="0.2">
      <c r="A306" s="803"/>
      <c r="B306" s="712">
        <v>40722</v>
      </c>
      <c r="C306" t="s">
        <v>479</v>
      </c>
      <c r="D306"/>
      <c r="E306" s="713" t="s">
        <v>2719</v>
      </c>
      <c r="G306" s="701">
        <v>3315</v>
      </c>
      <c r="H306" s="617" t="s">
        <v>2904</v>
      </c>
    </row>
    <row r="307" spans="1:8" outlineLevel="1" x14ac:dyDescent="0.2">
      <c r="A307" s="803"/>
      <c r="B307" s="712">
        <v>40722</v>
      </c>
      <c r="C307" t="s">
        <v>2732</v>
      </c>
      <c r="D307" t="s">
        <v>2729</v>
      </c>
      <c r="E307" t="s">
        <v>2730</v>
      </c>
      <c r="G307" s="701">
        <v>500</v>
      </c>
    </row>
    <row r="308" spans="1:8" outlineLevel="1" x14ac:dyDescent="0.2">
      <c r="A308" s="803"/>
      <c r="B308" s="712">
        <v>40723</v>
      </c>
      <c r="C308" t="s">
        <v>1856</v>
      </c>
      <c r="D308" t="s">
        <v>2893</v>
      </c>
      <c r="E308" s="713" t="s">
        <v>2750</v>
      </c>
      <c r="G308" s="701">
        <v>12000</v>
      </c>
    </row>
    <row r="309" spans="1:8" outlineLevel="1" x14ac:dyDescent="0.2">
      <c r="A309" s="803"/>
      <c r="B309" s="712">
        <v>40723</v>
      </c>
      <c r="C309" t="s">
        <v>2822</v>
      </c>
      <c r="D309" t="s">
        <v>2707</v>
      </c>
      <c r="E309" t="s">
        <v>2707</v>
      </c>
      <c r="G309" s="701">
        <v>700</v>
      </c>
    </row>
    <row r="310" spans="1:8" outlineLevel="1" x14ac:dyDescent="0.2">
      <c r="A310" s="803"/>
      <c r="B310" s="712">
        <v>40723</v>
      </c>
      <c r="C310" s="713" t="s">
        <v>2706</v>
      </c>
      <c r="D310" t="s">
        <v>2784</v>
      </c>
      <c r="E310" s="713" t="s">
        <v>2700</v>
      </c>
      <c r="G310" s="701">
        <v>2000</v>
      </c>
    </row>
    <row r="311" spans="1:8" outlineLevel="1" x14ac:dyDescent="0.2">
      <c r="A311" s="803"/>
      <c r="B311" s="712">
        <v>40723</v>
      </c>
      <c r="C311" t="s">
        <v>2708</v>
      </c>
      <c r="D311" s="713" t="s">
        <v>2709</v>
      </c>
      <c r="E311" s="713" t="s">
        <v>2709</v>
      </c>
      <c r="G311" s="701">
        <v>1100</v>
      </c>
    </row>
    <row r="312" spans="1:8" outlineLevel="1" x14ac:dyDescent="0.2">
      <c r="A312" s="803"/>
      <c r="B312" s="712">
        <v>40723</v>
      </c>
      <c r="C312" t="s">
        <v>2894</v>
      </c>
      <c r="D312" t="s">
        <v>2895</v>
      </c>
      <c r="E312" t="s">
        <v>1035</v>
      </c>
      <c r="G312" s="701">
        <v>2500</v>
      </c>
    </row>
    <row r="313" spans="1:8" outlineLevel="1" x14ac:dyDescent="0.2">
      <c r="A313" s="803"/>
      <c r="B313" s="712">
        <v>40724</v>
      </c>
      <c r="D313"/>
    </row>
    <row r="314" spans="1:8" outlineLevel="1" x14ac:dyDescent="0.2">
      <c r="A314" s="803"/>
      <c r="B314" s="712">
        <v>40725</v>
      </c>
      <c r="C314" s="713" t="s">
        <v>383</v>
      </c>
      <c r="D314" t="s">
        <v>2897</v>
      </c>
      <c r="E314" s="713" t="s">
        <v>2750</v>
      </c>
      <c r="G314" s="701">
        <v>10807</v>
      </c>
    </row>
    <row r="315" spans="1:8" outlineLevel="1" x14ac:dyDescent="0.2">
      <c r="A315" s="803"/>
      <c r="B315" s="712">
        <v>40725</v>
      </c>
      <c r="C315" s="713" t="s">
        <v>2712</v>
      </c>
      <c r="D315" t="s">
        <v>2713</v>
      </c>
      <c r="E315" s="713" t="s">
        <v>2714</v>
      </c>
      <c r="G315" s="701">
        <v>2776</v>
      </c>
    </row>
    <row r="316" spans="1:8" outlineLevel="1" x14ac:dyDescent="0.2">
      <c r="A316" s="803"/>
      <c r="B316" s="712">
        <v>40725</v>
      </c>
      <c r="C316" t="s">
        <v>2229</v>
      </c>
      <c r="D316" t="s">
        <v>2707</v>
      </c>
      <c r="E316" t="s">
        <v>2707</v>
      </c>
      <c r="G316" s="701">
        <v>4217</v>
      </c>
    </row>
    <row r="317" spans="1:8" outlineLevel="1" x14ac:dyDescent="0.2">
      <c r="A317" s="803"/>
      <c r="B317" s="712">
        <v>40726</v>
      </c>
      <c r="C317" s="713" t="s">
        <v>2712</v>
      </c>
      <c r="D317" t="s">
        <v>2713</v>
      </c>
      <c r="E317" s="713" t="s">
        <v>2714</v>
      </c>
      <c r="G317" s="701">
        <v>1200</v>
      </c>
    </row>
    <row r="318" spans="1:8" outlineLevel="1" x14ac:dyDescent="0.2">
      <c r="A318" s="803"/>
      <c r="B318" s="712">
        <v>40726</v>
      </c>
      <c r="C318" t="s">
        <v>2708</v>
      </c>
      <c r="D318" s="713" t="s">
        <v>2709</v>
      </c>
      <c r="E318" s="713" t="s">
        <v>2709</v>
      </c>
      <c r="G318" s="701">
        <v>280</v>
      </c>
    </row>
    <row r="319" spans="1:8" outlineLevel="1" x14ac:dyDescent="0.2">
      <c r="A319" s="803"/>
      <c r="B319" s="712">
        <v>40727</v>
      </c>
      <c r="C319" t="s">
        <v>367</v>
      </c>
      <c r="D319" t="s">
        <v>2707</v>
      </c>
      <c r="E319" t="s">
        <v>2707</v>
      </c>
      <c r="G319" s="701">
        <v>2400</v>
      </c>
    </row>
    <row r="320" spans="1:8" outlineLevel="1" x14ac:dyDescent="0.2">
      <c r="A320" s="803"/>
      <c r="B320" s="712">
        <v>40728</v>
      </c>
      <c r="C320" t="s">
        <v>2881</v>
      </c>
      <c r="D320" t="s">
        <v>2900</v>
      </c>
      <c r="E320" s="713" t="s">
        <v>2750</v>
      </c>
      <c r="G320" s="701">
        <v>6775</v>
      </c>
    </row>
    <row r="321" spans="1:9" outlineLevel="1" x14ac:dyDescent="0.2">
      <c r="A321" s="803"/>
      <c r="B321" s="712">
        <v>40728</v>
      </c>
      <c r="C321" t="s">
        <v>1856</v>
      </c>
      <c r="D321" t="s">
        <v>2906</v>
      </c>
      <c r="E321" s="713" t="s">
        <v>2750</v>
      </c>
      <c r="G321" s="701">
        <v>68500</v>
      </c>
    </row>
    <row r="322" spans="1:9" outlineLevel="1" x14ac:dyDescent="0.2">
      <c r="A322" s="803"/>
      <c r="B322" s="712">
        <v>40729</v>
      </c>
      <c r="C322" s="713" t="s">
        <v>2712</v>
      </c>
      <c r="D322" t="s">
        <v>2713</v>
      </c>
      <c r="E322" s="713" t="s">
        <v>2714</v>
      </c>
      <c r="G322" s="701">
        <v>1950</v>
      </c>
    </row>
    <row r="323" spans="1:9" outlineLevel="1" x14ac:dyDescent="0.2">
      <c r="A323" s="803"/>
      <c r="B323" s="712">
        <v>40729</v>
      </c>
      <c r="C323" s="713" t="s">
        <v>2706</v>
      </c>
      <c r="D323" t="s">
        <v>2784</v>
      </c>
      <c r="E323" s="713" t="s">
        <v>2700</v>
      </c>
      <c r="G323" s="701">
        <v>10000</v>
      </c>
      <c r="H323" s="617" t="s">
        <v>2905</v>
      </c>
    </row>
    <row r="324" spans="1:9" outlineLevel="1" x14ac:dyDescent="0.2">
      <c r="A324" s="803"/>
      <c r="B324" s="712">
        <v>40730</v>
      </c>
      <c r="C324" t="s">
        <v>2881</v>
      </c>
      <c r="D324" t="s">
        <v>2860</v>
      </c>
      <c r="E324" s="713" t="s">
        <v>2750</v>
      </c>
      <c r="G324" s="701">
        <v>7015</v>
      </c>
    </row>
    <row r="325" spans="1:9" outlineLevel="1" x14ac:dyDescent="0.2">
      <c r="A325" s="803"/>
      <c r="B325" s="712">
        <v>40730</v>
      </c>
      <c r="C325" t="s">
        <v>2910</v>
      </c>
      <c r="D325" t="s">
        <v>2911</v>
      </c>
      <c r="E325" s="713" t="s">
        <v>2750</v>
      </c>
      <c r="G325" s="701">
        <v>85000</v>
      </c>
    </row>
    <row r="326" spans="1:9" outlineLevel="1" x14ac:dyDescent="0.2">
      <c r="A326" s="803"/>
      <c r="B326" s="712">
        <v>40730</v>
      </c>
      <c r="C326" t="s">
        <v>367</v>
      </c>
      <c r="D326" t="s">
        <v>2707</v>
      </c>
      <c r="E326" t="s">
        <v>2707</v>
      </c>
      <c r="G326" s="701">
        <v>8062</v>
      </c>
    </row>
    <row r="327" spans="1:9" outlineLevel="1" x14ac:dyDescent="0.2">
      <c r="A327" s="803"/>
      <c r="B327" s="712">
        <v>40730</v>
      </c>
      <c r="C327" s="713" t="s">
        <v>2712</v>
      </c>
      <c r="D327" t="s">
        <v>2713</v>
      </c>
      <c r="E327" s="713" t="s">
        <v>2714</v>
      </c>
      <c r="G327" s="701">
        <v>1600</v>
      </c>
    </row>
    <row r="328" spans="1:9" s="727" customFormat="1" outlineLevel="1" x14ac:dyDescent="0.2">
      <c r="A328" s="712"/>
      <c r="B328" s="712">
        <v>40731</v>
      </c>
      <c r="D328" s="1"/>
      <c r="G328" s="918"/>
      <c r="H328" s="919"/>
      <c r="I328" s="920"/>
    </row>
    <row r="329" spans="1:9" outlineLevel="1" x14ac:dyDescent="0.2">
      <c r="A329" s="803"/>
      <c r="B329" s="712">
        <v>40732</v>
      </c>
      <c r="C329" s="713" t="s">
        <v>2925</v>
      </c>
      <c r="D329" t="s">
        <v>2928</v>
      </c>
      <c r="E329" s="713" t="s">
        <v>1035</v>
      </c>
      <c r="G329" s="896">
        <v>1500</v>
      </c>
    </row>
    <row r="330" spans="1:9" outlineLevel="1" x14ac:dyDescent="0.2">
      <c r="A330" s="803"/>
      <c r="B330" s="712">
        <v>40733</v>
      </c>
      <c r="C330" t="s">
        <v>367</v>
      </c>
      <c r="D330" t="s">
        <v>2707</v>
      </c>
      <c r="E330" t="s">
        <v>2707</v>
      </c>
      <c r="G330" s="701">
        <v>15060</v>
      </c>
    </row>
    <row r="331" spans="1:9" outlineLevel="1" x14ac:dyDescent="0.2">
      <c r="A331" s="803"/>
      <c r="B331" s="712">
        <v>40733</v>
      </c>
      <c r="C331" s="713" t="s">
        <v>2712</v>
      </c>
      <c r="D331" t="s">
        <v>2713</v>
      </c>
      <c r="E331" s="713" t="s">
        <v>2714</v>
      </c>
      <c r="G331" s="701">
        <v>3335</v>
      </c>
    </row>
    <row r="332" spans="1:9" outlineLevel="1" x14ac:dyDescent="0.2">
      <c r="A332" s="803"/>
      <c r="B332" s="712">
        <v>40733</v>
      </c>
      <c r="C332" s="713" t="s">
        <v>2797</v>
      </c>
      <c r="D332" t="s">
        <v>2919</v>
      </c>
      <c r="E332" t="s">
        <v>1035</v>
      </c>
      <c r="G332" s="701">
        <v>2400</v>
      </c>
    </row>
    <row r="333" spans="1:9" outlineLevel="1" x14ac:dyDescent="0.2">
      <c r="A333" s="803"/>
      <c r="B333" s="712">
        <v>40734</v>
      </c>
      <c r="C333" t="s">
        <v>1656</v>
      </c>
      <c r="D333" t="s">
        <v>2920</v>
      </c>
      <c r="E333" s="713" t="s">
        <v>2750</v>
      </c>
      <c r="G333" s="701">
        <v>1048</v>
      </c>
    </row>
    <row r="334" spans="1:9" outlineLevel="1" x14ac:dyDescent="0.2">
      <c r="A334" s="803"/>
      <c r="B334" s="712">
        <v>40734</v>
      </c>
      <c r="C334" s="713" t="s">
        <v>2925</v>
      </c>
      <c r="D334" t="s">
        <v>2707</v>
      </c>
      <c r="E334" s="713" t="s">
        <v>2707</v>
      </c>
      <c r="G334" s="896">
        <v>2300</v>
      </c>
    </row>
    <row r="335" spans="1:9" outlineLevel="1" x14ac:dyDescent="0.2">
      <c r="A335" s="803"/>
      <c r="B335" s="712">
        <v>40735</v>
      </c>
      <c r="C335" t="s">
        <v>1815</v>
      </c>
      <c r="D335" t="s">
        <v>2921</v>
      </c>
      <c r="E335" s="713" t="s">
        <v>2750</v>
      </c>
      <c r="G335" s="701">
        <v>3180</v>
      </c>
    </row>
    <row r="336" spans="1:9" outlineLevel="1" x14ac:dyDescent="0.2">
      <c r="A336" s="803"/>
      <c r="B336" s="712">
        <v>40735</v>
      </c>
      <c r="C336" t="s">
        <v>2922</v>
      </c>
      <c r="D336" t="s">
        <v>2923</v>
      </c>
      <c r="E336" s="713" t="s">
        <v>1035</v>
      </c>
      <c r="G336" s="701">
        <v>850</v>
      </c>
    </row>
    <row r="337" spans="1:8" outlineLevel="1" x14ac:dyDescent="0.2">
      <c r="A337" s="803"/>
      <c r="B337" s="712">
        <v>40735</v>
      </c>
      <c r="C337" t="s">
        <v>2894</v>
      </c>
      <c r="D337" t="s">
        <v>2924</v>
      </c>
      <c r="E337" s="713" t="s">
        <v>1035</v>
      </c>
      <c r="G337" s="701">
        <v>1130</v>
      </c>
    </row>
    <row r="338" spans="1:8" outlineLevel="1" x14ac:dyDescent="0.2">
      <c r="A338" s="803"/>
      <c r="B338" s="712">
        <v>40735</v>
      </c>
      <c r="C338" t="s">
        <v>43</v>
      </c>
      <c r="D338" t="s">
        <v>2926</v>
      </c>
      <c r="E338" s="713" t="s">
        <v>2750</v>
      </c>
      <c r="G338" s="701">
        <v>4540</v>
      </c>
    </row>
    <row r="339" spans="1:8" outlineLevel="1" x14ac:dyDescent="0.2">
      <c r="A339" s="803"/>
      <c r="B339" s="712">
        <v>40735</v>
      </c>
      <c r="C339" t="s">
        <v>2246</v>
      </c>
      <c r="D339" t="s">
        <v>2927</v>
      </c>
      <c r="E339" s="713" t="s">
        <v>1035</v>
      </c>
      <c r="G339" s="896">
        <v>1400</v>
      </c>
    </row>
    <row r="340" spans="1:8" outlineLevel="1" x14ac:dyDescent="0.2">
      <c r="A340" s="803"/>
      <c r="B340" s="712">
        <v>40735</v>
      </c>
      <c r="C340" t="s">
        <v>367</v>
      </c>
      <c r="D340" t="s">
        <v>2707</v>
      </c>
      <c r="E340" t="s">
        <v>2707</v>
      </c>
      <c r="G340" s="701">
        <v>2500</v>
      </c>
    </row>
    <row r="341" spans="1:8" outlineLevel="1" x14ac:dyDescent="0.2">
      <c r="A341" s="803"/>
      <c r="B341" s="712">
        <v>40736</v>
      </c>
      <c r="C341" t="s">
        <v>2712</v>
      </c>
      <c r="D341" t="s">
        <v>2713</v>
      </c>
      <c r="E341" s="713" t="s">
        <v>2714</v>
      </c>
      <c r="G341" s="701">
        <v>1400</v>
      </c>
    </row>
    <row r="342" spans="1:8" outlineLevel="1" x14ac:dyDescent="0.2">
      <c r="A342" s="803"/>
      <c r="B342" s="712">
        <v>40737</v>
      </c>
      <c r="D342"/>
      <c r="G342" s="896"/>
    </row>
    <row r="343" spans="1:8" outlineLevel="1" x14ac:dyDescent="0.2">
      <c r="A343" s="803"/>
      <c r="B343" s="712">
        <v>40738</v>
      </c>
      <c r="C343" t="s">
        <v>367</v>
      </c>
      <c r="D343" t="s">
        <v>2707</v>
      </c>
      <c r="E343" t="s">
        <v>2707</v>
      </c>
      <c r="G343" s="701">
        <v>4827</v>
      </c>
    </row>
    <row r="344" spans="1:8" outlineLevel="1" x14ac:dyDescent="0.2">
      <c r="A344" s="803"/>
      <c r="B344" s="712">
        <v>40738</v>
      </c>
      <c r="C344" t="s">
        <v>2712</v>
      </c>
      <c r="D344" t="s">
        <v>2713</v>
      </c>
      <c r="E344" s="713" t="s">
        <v>2714</v>
      </c>
      <c r="G344" s="896">
        <v>1200</v>
      </c>
    </row>
    <row r="345" spans="1:8" outlineLevel="1" x14ac:dyDescent="0.2">
      <c r="A345" s="803"/>
      <c r="B345" s="712">
        <v>40738</v>
      </c>
      <c r="C345"/>
      <c r="D345" t="s">
        <v>2929</v>
      </c>
      <c r="E345" s="713" t="s">
        <v>2750</v>
      </c>
      <c r="G345" s="896">
        <v>2500</v>
      </c>
    </row>
    <row r="346" spans="1:8" outlineLevel="1" x14ac:dyDescent="0.2">
      <c r="A346" s="803"/>
      <c r="B346" s="712">
        <v>40738</v>
      </c>
      <c r="C346"/>
      <c r="D346" t="s">
        <v>2930</v>
      </c>
      <c r="E346" s="713" t="s">
        <v>1035</v>
      </c>
      <c r="G346" s="896">
        <v>6500</v>
      </c>
    </row>
    <row r="347" spans="1:8" outlineLevel="1" x14ac:dyDescent="0.2">
      <c r="A347" s="803"/>
      <c r="B347" s="712">
        <v>40738</v>
      </c>
      <c r="C347"/>
      <c r="D347" t="s">
        <v>2931</v>
      </c>
      <c r="E347" s="713" t="s">
        <v>1035</v>
      </c>
      <c r="G347" s="896">
        <v>1200</v>
      </c>
    </row>
    <row r="348" spans="1:8" outlineLevel="1" x14ac:dyDescent="0.2">
      <c r="A348" s="803"/>
      <c r="B348" s="712">
        <v>40738</v>
      </c>
      <c r="C348" t="s">
        <v>479</v>
      </c>
      <c r="D348"/>
      <c r="E348" s="713" t="s">
        <v>2719</v>
      </c>
      <c r="G348" s="701">
        <v>8600</v>
      </c>
    </row>
    <row r="349" spans="1:8" outlineLevel="1" x14ac:dyDescent="0.2">
      <c r="A349" s="803"/>
      <c r="B349" s="712">
        <v>40738</v>
      </c>
      <c r="C349" t="s">
        <v>2822</v>
      </c>
      <c r="D349" t="s">
        <v>2932</v>
      </c>
      <c r="E349" s="713" t="s">
        <v>2707</v>
      </c>
      <c r="G349" s="896">
        <v>450</v>
      </c>
    </row>
    <row r="350" spans="1:8" outlineLevel="1" x14ac:dyDescent="0.2">
      <c r="A350" s="803"/>
      <c r="B350" s="712">
        <v>40738</v>
      </c>
      <c r="C350" s="713" t="s">
        <v>2706</v>
      </c>
      <c r="D350" t="s">
        <v>2784</v>
      </c>
      <c r="E350" s="713" t="s">
        <v>2700</v>
      </c>
      <c r="G350" s="701">
        <v>5000</v>
      </c>
      <c r="H350" s="617" t="s">
        <v>2933</v>
      </c>
    </row>
    <row r="351" spans="1:8" outlineLevel="1" x14ac:dyDescent="0.2">
      <c r="A351" s="803"/>
      <c r="B351" s="712">
        <v>40739</v>
      </c>
      <c r="D351"/>
    </row>
    <row r="352" spans="1:8" outlineLevel="1" x14ac:dyDescent="0.2">
      <c r="A352" s="803"/>
      <c r="B352" s="712">
        <v>40740</v>
      </c>
      <c r="D352" t="s">
        <v>2934</v>
      </c>
      <c r="E352" s="713" t="s">
        <v>1035</v>
      </c>
      <c r="G352" s="701">
        <v>10000</v>
      </c>
      <c r="H352" s="617" t="s">
        <v>2942</v>
      </c>
    </row>
    <row r="353" spans="1:8" outlineLevel="1" x14ac:dyDescent="0.2">
      <c r="A353" s="803"/>
      <c r="B353" s="712">
        <v>40741</v>
      </c>
      <c r="C353" t="s">
        <v>2712</v>
      </c>
      <c r="D353" t="s">
        <v>2713</v>
      </c>
      <c r="E353" s="713" t="s">
        <v>2714</v>
      </c>
      <c r="G353" s="896">
        <v>1100</v>
      </c>
    </row>
    <row r="354" spans="1:8" outlineLevel="1" x14ac:dyDescent="0.2">
      <c r="A354" s="803"/>
      <c r="B354" s="712">
        <v>40741</v>
      </c>
      <c r="C354" t="s">
        <v>2712</v>
      </c>
      <c r="D354" t="s">
        <v>2713</v>
      </c>
      <c r="E354" s="713" t="s">
        <v>2714</v>
      </c>
      <c r="G354" s="896">
        <v>450</v>
      </c>
    </row>
    <row r="355" spans="1:8" outlineLevel="1" x14ac:dyDescent="0.2">
      <c r="A355" s="803"/>
      <c r="B355" s="712">
        <v>40741</v>
      </c>
      <c r="C355" s="713" t="s">
        <v>2925</v>
      </c>
      <c r="D355" t="s">
        <v>2928</v>
      </c>
      <c r="E355" s="713" t="s">
        <v>1035</v>
      </c>
      <c r="G355" s="896">
        <v>1600</v>
      </c>
    </row>
    <row r="356" spans="1:8" outlineLevel="1" x14ac:dyDescent="0.2">
      <c r="A356" s="803"/>
      <c r="B356" s="712">
        <v>40741</v>
      </c>
      <c r="D356" t="s">
        <v>2935</v>
      </c>
      <c r="E356" s="713" t="s">
        <v>1035</v>
      </c>
      <c r="G356" s="896">
        <v>2000</v>
      </c>
    </row>
    <row r="357" spans="1:8" outlineLevel="1" x14ac:dyDescent="0.2">
      <c r="A357" s="803"/>
      <c r="B357" s="712">
        <v>40741</v>
      </c>
      <c r="D357" t="s">
        <v>2936</v>
      </c>
      <c r="E357" s="713" t="s">
        <v>1035</v>
      </c>
      <c r="G357" s="896">
        <v>750</v>
      </c>
    </row>
    <row r="358" spans="1:8" outlineLevel="1" x14ac:dyDescent="0.2">
      <c r="A358" s="803"/>
      <c r="B358" s="712">
        <v>40742</v>
      </c>
      <c r="D358"/>
    </row>
    <row r="359" spans="1:8" outlineLevel="1" x14ac:dyDescent="0.2">
      <c r="A359" s="803"/>
      <c r="B359" s="712">
        <v>40743</v>
      </c>
      <c r="C359" t="s">
        <v>367</v>
      </c>
      <c r="D359" t="s">
        <v>2707</v>
      </c>
      <c r="E359" t="s">
        <v>2707</v>
      </c>
      <c r="G359" s="701">
        <v>5615</v>
      </c>
    </row>
    <row r="360" spans="1:8" outlineLevel="1" x14ac:dyDescent="0.2">
      <c r="A360" s="803"/>
      <c r="B360" s="712">
        <v>40743</v>
      </c>
      <c r="C360" t="s">
        <v>2712</v>
      </c>
      <c r="D360" t="s">
        <v>2713</v>
      </c>
      <c r="E360" s="713" t="s">
        <v>2714</v>
      </c>
      <c r="G360" s="896">
        <v>1450</v>
      </c>
    </row>
    <row r="361" spans="1:8" outlineLevel="1" x14ac:dyDescent="0.2">
      <c r="A361" s="803"/>
      <c r="B361" s="712">
        <v>40743</v>
      </c>
      <c r="C361" t="s">
        <v>2940</v>
      </c>
      <c r="D361" t="s">
        <v>2941</v>
      </c>
      <c r="E361" t="s">
        <v>1035</v>
      </c>
      <c r="G361" s="896">
        <v>3719</v>
      </c>
    </row>
    <row r="362" spans="1:8" outlineLevel="1" x14ac:dyDescent="0.2">
      <c r="A362" s="803"/>
      <c r="B362" s="712">
        <v>40743</v>
      </c>
      <c r="C362" t="s">
        <v>2940</v>
      </c>
      <c r="D362" t="s">
        <v>2943</v>
      </c>
      <c r="E362" t="s">
        <v>2722</v>
      </c>
      <c r="G362" s="896">
        <v>460</v>
      </c>
      <c r="H362" s="617" t="s">
        <v>2942</v>
      </c>
    </row>
    <row r="363" spans="1:8" outlineLevel="1" x14ac:dyDescent="0.2">
      <c r="A363" s="803"/>
      <c r="B363" s="712">
        <v>40743</v>
      </c>
      <c r="C363" t="s">
        <v>2940</v>
      </c>
      <c r="D363" t="s">
        <v>2944</v>
      </c>
      <c r="E363" t="s">
        <v>2722</v>
      </c>
      <c r="G363" s="896">
        <v>6466</v>
      </c>
    </row>
    <row r="364" spans="1:8" outlineLevel="1" x14ac:dyDescent="0.2">
      <c r="A364" s="803"/>
      <c r="B364" s="712">
        <v>40744</v>
      </c>
      <c r="C364" t="s">
        <v>367</v>
      </c>
      <c r="D364" t="s">
        <v>2945</v>
      </c>
      <c r="E364" t="s">
        <v>2750</v>
      </c>
      <c r="G364" s="701">
        <v>340</v>
      </c>
    </row>
    <row r="365" spans="1:8" outlineLevel="1" x14ac:dyDescent="0.2">
      <c r="A365" s="803"/>
      <c r="B365" s="712">
        <v>40744</v>
      </c>
      <c r="C365" t="s">
        <v>2712</v>
      </c>
      <c r="D365" t="s">
        <v>2713</v>
      </c>
      <c r="E365" s="713" t="s">
        <v>2714</v>
      </c>
      <c r="G365" s="896">
        <v>1335</v>
      </c>
    </row>
    <row r="366" spans="1:8" outlineLevel="1" x14ac:dyDescent="0.2">
      <c r="A366" s="803"/>
      <c r="B366" s="712">
        <v>40745</v>
      </c>
      <c r="C366" s="713" t="s">
        <v>2706</v>
      </c>
      <c r="D366" t="s">
        <v>2784</v>
      </c>
      <c r="E366" s="713" t="s">
        <v>2700</v>
      </c>
      <c r="G366" s="701">
        <v>10000</v>
      </c>
    </row>
    <row r="367" spans="1:8" outlineLevel="1" x14ac:dyDescent="0.2">
      <c r="A367" s="803"/>
      <c r="B367" s="712">
        <v>40745</v>
      </c>
      <c r="C367" s="713" t="s">
        <v>2704</v>
      </c>
      <c r="D367" s="713" t="s">
        <v>2726</v>
      </c>
      <c r="E367" s="713" t="s">
        <v>2724</v>
      </c>
      <c r="G367" s="701">
        <v>1000</v>
      </c>
    </row>
    <row r="368" spans="1:8" outlineLevel="1" x14ac:dyDescent="0.2">
      <c r="A368" s="803"/>
      <c r="B368" s="712">
        <v>40746</v>
      </c>
      <c r="C368" t="s">
        <v>367</v>
      </c>
      <c r="D368" t="s">
        <v>2707</v>
      </c>
      <c r="E368" t="s">
        <v>2707</v>
      </c>
      <c r="G368" s="701">
        <v>560</v>
      </c>
    </row>
    <row r="369" spans="1:8" outlineLevel="1" x14ac:dyDescent="0.2">
      <c r="A369" s="803"/>
      <c r="B369" s="712">
        <v>40746</v>
      </c>
      <c r="C369" t="s">
        <v>2952</v>
      </c>
      <c r="D369" t="s">
        <v>2805</v>
      </c>
      <c r="E369" t="s">
        <v>1035</v>
      </c>
      <c r="G369" s="701">
        <v>4000</v>
      </c>
    </row>
    <row r="370" spans="1:8" outlineLevel="1" x14ac:dyDescent="0.2">
      <c r="A370" s="803"/>
      <c r="B370" s="712">
        <v>40746</v>
      </c>
      <c r="C370" t="s">
        <v>2951</v>
      </c>
      <c r="D370" t="s">
        <v>2948</v>
      </c>
      <c r="E370" t="s">
        <v>1035</v>
      </c>
      <c r="G370" s="701">
        <v>1900</v>
      </c>
    </row>
    <row r="371" spans="1:8" outlineLevel="1" x14ac:dyDescent="0.2">
      <c r="A371" s="803"/>
      <c r="B371" s="712">
        <v>40746</v>
      </c>
      <c r="C371" t="s">
        <v>2950</v>
      </c>
      <c r="D371" t="s">
        <v>2949</v>
      </c>
      <c r="E371" t="s">
        <v>2722</v>
      </c>
      <c r="G371" s="896">
        <v>1400</v>
      </c>
    </row>
    <row r="372" spans="1:8" outlineLevel="1" x14ac:dyDescent="0.2">
      <c r="A372" s="803"/>
      <c r="B372" s="712">
        <v>40746</v>
      </c>
      <c r="C372" t="s">
        <v>2708</v>
      </c>
      <c r="D372" s="713" t="s">
        <v>2709</v>
      </c>
      <c r="E372" s="713" t="s">
        <v>2709</v>
      </c>
      <c r="G372" s="701">
        <v>2290</v>
      </c>
    </row>
    <row r="373" spans="1:8" outlineLevel="1" x14ac:dyDescent="0.2">
      <c r="A373" s="803"/>
      <c r="B373" s="712">
        <v>40746</v>
      </c>
      <c r="C373" t="s">
        <v>479</v>
      </c>
      <c r="D373" s="713" t="s">
        <v>2719</v>
      </c>
      <c r="E373" s="713" t="s">
        <v>2719</v>
      </c>
      <c r="G373" s="701">
        <v>1500</v>
      </c>
    </row>
    <row r="374" spans="1:8" outlineLevel="1" x14ac:dyDescent="0.2">
      <c r="A374" s="803"/>
      <c r="B374" s="712">
        <v>40747</v>
      </c>
      <c r="C374" t="s">
        <v>2953</v>
      </c>
      <c r="D374" t="s">
        <v>2954</v>
      </c>
      <c r="E374" s="713" t="s">
        <v>1035</v>
      </c>
      <c r="G374" s="701">
        <v>30000</v>
      </c>
    </row>
    <row r="375" spans="1:8" outlineLevel="1" x14ac:dyDescent="0.2">
      <c r="A375" s="803"/>
      <c r="B375" s="712">
        <v>40747</v>
      </c>
      <c r="C375" t="s">
        <v>2953</v>
      </c>
      <c r="D375" t="s">
        <v>2955</v>
      </c>
      <c r="E375" s="713" t="s">
        <v>1035</v>
      </c>
      <c r="G375" s="701">
        <v>11000</v>
      </c>
    </row>
    <row r="376" spans="1:8" outlineLevel="1" x14ac:dyDescent="0.2">
      <c r="A376" s="803"/>
      <c r="B376" s="712">
        <v>40748</v>
      </c>
      <c r="C376" s="713" t="s">
        <v>2706</v>
      </c>
      <c r="D376" t="s">
        <v>2784</v>
      </c>
      <c r="E376" s="713" t="s">
        <v>2700</v>
      </c>
      <c r="G376" s="701">
        <v>5000</v>
      </c>
    </row>
    <row r="377" spans="1:8" outlineLevel="1" x14ac:dyDescent="0.2">
      <c r="A377" s="803"/>
      <c r="B377" s="712">
        <v>40749</v>
      </c>
      <c r="C377" t="s">
        <v>367</v>
      </c>
      <c r="D377" t="s">
        <v>2707</v>
      </c>
      <c r="E377" t="s">
        <v>2707</v>
      </c>
      <c r="G377" s="701">
        <v>3492</v>
      </c>
    </row>
    <row r="378" spans="1:8" outlineLevel="1" x14ac:dyDescent="0.2">
      <c r="A378" s="803"/>
      <c r="B378" s="712">
        <v>40749</v>
      </c>
      <c r="C378" s="713" t="s">
        <v>2706</v>
      </c>
      <c r="D378" t="s">
        <v>2784</v>
      </c>
      <c r="E378" s="713" t="s">
        <v>2700</v>
      </c>
      <c r="G378" s="701">
        <v>10000</v>
      </c>
      <c r="H378" s="617" t="s">
        <v>2956</v>
      </c>
    </row>
    <row r="379" spans="1:8" outlineLevel="1" x14ac:dyDescent="0.2">
      <c r="A379" s="803"/>
      <c r="B379" s="712">
        <v>40750</v>
      </c>
      <c r="C379" t="s">
        <v>2712</v>
      </c>
      <c r="D379" t="s">
        <v>2713</v>
      </c>
      <c r="E379" s="713" t="s">
        <v>2714</v>
      </c>
      <c r="G379" s="896">
        <v>2300</v>
      </c>
    </row>
    <row r="380" spans="1:8" outlineLevel="1" x14ac:dyDescent="0.2">
      <c r="A380" s="803"/>
      <c r="B380" s="712">
        <v>40751</v>
      </c>
      <c r="D380"/>
    </row>
    <row r="381" spans="1:8" outlineLevel="1" x14ac:dyDescent="0.2">
      <c r="A381" s="803"/>
      <c r="B381" s="712">
        <v>40752</v>
      </c>
      <c r="C381" t="s">
        <v>2712</v>
      </c>
      <c r="D381" t="s">
        <v>2713</v>
      </c>
      <c r="E381" s="713" t="s">
        <v>2714</v>
      </c>
      <c r="G381" s="896">
        <v>1300</v>
      </c>
    </row>
    <row r="382" spans="1:8" outlineLevel="1" x14ac:dyDescent="0.2">
      <c r="A382" s="803"/>
      <c r="B382" s="712">
        <v>40752</v>
      </c>
      <c r="C382" t="s">
        <v>2739</v>
      </c>
      <c r="D382" t="s">
        <v>2959</v>
      </c>
      <c r="E382" t="s">
        <v>1035</v>
      </c>
      <c r="G382" s="701">
        <v>500</v>
      </c>
    </row>
    <row r="383" spans="1:8" outlineLevel="1" x14ac:dyDescent="0.2">
      <c r="A383" s="803"/>
      <c r="B383" s="712">
        <v>40752</v>
      </c>
      <c r="C383" t="s">
        <v>2894</v>
      </c>
      <c r="D383" t="s">
        <v>2960</v>
      </c>
      <c r="E383" s="713" t="s">
        <v>1035</v>
      </c>
      <c r="G383" s="701">
        <v>600</v>
      </c>
    </row>
    <row r="384" spans="1:8" outlineLevel="1" x14ac:dyDescent="0.2">
      <c r="A384" s="803"/>
      <c r="B384" s="712">
        <v>40752</v>
      </c>
      <c r="C384" t="s">
        <v>2830</v>
      </c>
      <c r="D384" t="s">
        <v>2707</v>
      </c>
      <c r="E384" t="s">
        <v>2707</v>
      </c>
      <c r="G384" s="701">
        <v>1899</v>
      </c>
    </row>
    <row r="385" spans="1:7" outlineLevel="1" x14ac:dyDescent="0.2">
      <c r="A385" s="803"/>
      <c r="B385" s="712">
        <v>40753</v>
      </c>
      <c r="C385" t="s">
        <v>367</v>
      </c>
      <c r="D385" t="s">
        <v>2707</v>
      </c>
      <c r="E385" t="s">
        <v>2707</v>
      </c>
      <c r="G385" s="701">
        <v>7254</v>
      </c>
    </row>
    <row r="386" spans="1:7" outlineLevel="1" x14ac:dyDescent="0.2">
      <c r="A386" s="803"/>
      <c r="B386" s="712">
        <v>40753</v>
      </c>
      <c r="C386" t="s">
        <v>2894</v>
      </c>
      <c r="D386" t="s">
        <v>2961</v>
      </c>
      <c r="E386" s="713" t="s">
        <v>1035</v>
      </c>
      <c r="G386" s="701">
        <v>1740</v>
      </c>
    </row>
    <row r="387" spans="1:7" outlineLevel="1" x14ac:dyDescent="0.2">
      <c r="A387" s="803"/>
      <c r="B387" s="712">
        <v>40753</v>
      </c>
      <c r="C387" t="s">
        <v>2963</v>
      </c>
      <c r="D387" t="s">
        <v>2962</v>
      </c>
      <c r="E387" t="s">
        <v>2736</v>
      </c>
      <c r="G387" s="701">
        <v>7070</v>
      </c>
    </row>
    <row r="388" spans="1:7" outlineLevel="1" x14ac:dyDescent="0.2">
      <c r="A388" s="803"/>
      <c r="B388" s="712">
        <v>40754</v>
      </c>
      <c r="C388" t="s">
        <v>1960</v>
      </c>
      <c r="D388" t="s">
        <v>2657</v>
      </c>
      <c r="E388" t="s">
        <v>2750</v>
      </c>
      <c r="G388" s="701">
        <v>18721</v>
      </c>
    </row>
    <row r="389" spans="1:7" outlineLevel="1" x14ac:dyDescent="0.2">
      <c r="A389" s="803"/>
      <c r="B389" s="712">
        <v>40755</v>
      </c>
      <c r="D389"/>
    </row>
    <row r="390" spans="1:7" outlineLevel="1" x14ac:dyDescent="0.2">
      <c r="A390" s="803"/>
      <c r="B390" s="712">
        <v>40756</v>
      </c>
      <c r="C390" t="s">
        <v>2712</v>
      </c>
      <c r="D390" t="s">
        <v>2713</v>
      </c>
      <c r="E390" s="713" t="s">
        <v>2714</v>
      </c>
      <c r="G390" s="896">
        <v>940</v>
      </c>
    </row>
    <row r="391" spans="1:7" outlineLevel="1" x14ac:dyDescent="0.2">
      <c r="A391" s="803"/>
      <c r="B391" s="712">
        <v>40757</v>
      </c>
      <c r="C391"/>
      <c r="D391" t="s">
        <v>2932</v>
      </c>
      <c r="E391" t="s">
        <v>2707</v>
      </c>
      <c r="G391" s="701">
        <v>500</v>
      </c>
    </row>
    <row r="392" spans="1:7" outlineLevel="1" x14ac:dyDescent="0.2">
      <c r="A392" s="803"/>
      <c r="B392" s="712">
        <v>40757</v>
      </c>
      <c r="C392"/>
      <c r="D392" t="s">
        <v>2978</v>
      </c>
      <c r="E392" t="s">
        <v>2722</v>
      </c>
      <c r="G392" s="701">
        <v>250</v>
      </c>
    </row>
    <row r="393" spans="1:7" outlineLevel="1" x14ac:dyDescent="0.2">
      <c r="A393" s="803"/>
      <c r="B393" s="712">
        <v>40758</v>
      </c>
      <c r="C393" t="s">
        <v>367</v>
      </c>
      <c r="D393" t="s">
        <v>2707</v>
      </c>
      <c r="E393" t="s">
        <v>2707</v>
      </c>
      <c r="G393" s="701">
        <v>6674</v>
      </c>
    </row>
    <row r="394" spans="1:7" outlineLevel="1" x14ac:dyDescent="0.2">
      <c r="A394" s="803"/>
      <c r="B394" s="712">
        <v>40759</v>
      </c>
      <c r="C394" t="s">
        <v>367</v>
      </c>
      <c r="D394" t="s">
        <v>2707</v>
      </c>
      <c r="E394" t="s">
        <v>2707</v>
      </c>
      <c r="G394" s="701">
        <v>7181</v>
      </c>
    </row>
    <row r="395" spans="1:7" outlineLevel="1" x14ac:dyDescent="0.2">
      <c r="A395" s="803"/>
      <c r="B395" s="712">
        <v>40759</v>
      </c>
      <c r="C395" t="s">
        <v>367</v>
      </c>
      <c r="D395" t="s">
        <v>2945</v>
      </c>
      <c r="E395" t="s">
        <v>2750</v>
      </c>
      <c r="G395" s="701">
        <v>2800</v>
      </c>
    </row>
    <row r="396" spans="1:7" outlineLevel="1" x14ac:dyDescent="0.2">
      <c r="A396" s="803"/>
      <c r="B396" s="712">
        <v>40759</v>
      </c>
      <c r="C396"/>
      <c r="D396" t="s">
        <v>2979</v>
      </c>
      <c r="E396" t="s">
        <v>2722</v>
      </c>
      <c r="G396" s="701">
        <v>1390</v>
      </c>
    </row>
    <row r="397" spans="1:7" outlineLevel="1" x14ac:dyDescent="0.2">
      <c r="A397" s="803"/>
      <c r="B397" s="712">
        <v>40759</v>
      </c>
      <c r="C397"/>
      <c r="D397" t="s">
        <v>2980</v>
      </c>
      <c r="E397" t="s">
        <v>1035</v>
      </c>
      <c r="G397" s="701">
        <v>500</v>
      </c>
    </row>
    <row r="398" spans="1:7" outlineLevel="1" x14ac:dyDescent="0.2">
      <c r="A398" s="803"/>
      <c r="B398" s="712">
        <v>40759</v>
      </c>
      <c r="C398"/>
      <c r="D398" t="s">
        <v>2981</v>
      </c>
      <c r="E398" t="s">
        <v>1035</v>
      </c>
      <c r="G398" s="701">
        <v>500</v>
      </c>
    </row>
    <row r="399" spans="1:7" outlineLevel="1" x14ac:dyDescent="0.2">
      <c r="A399" s="803"/>
      <c r="B399" s="712">
        <v>40759</v>
      </c>
      <c r="C399"/>
      <c r="D399" t="s">
        <v>2982</v>
      </c>
      <c r="E399" t="s">
        <v>1035</v>
      </c>
      <c r="G399" s="701">
        <v>3900</v>
      </c>
    </row>
    <row r="400" spans="1:7" outlineLevel="1" x14ac:dyDescent="0.2">
      <c r="A400" s="803"/>
      <c r="B400" s="712">
        <v>40759</v>
      </c>
      <c r="C400" t="s">
        <v>2712</v>
      </c>
      <c r="D400" t="s">
        <v>2713</v>
      </c>
      <c r="E400" s="713" t="s">
        <v>2714</v>
      </c>
      <c r="G400" s="896">
        <v>2600</v>
      </c>
    </row>
    <row r="401" spans="1:8" outlineLevel="1" x14ac:dyDescent="0.2">
      <c r="A401" s="803"/>
      <c r="B401" s="712">
        <v>40760</v>
      </c>
      <c r="C401" t="s">
        <v>479</v>
      </c>
      <c r="D401"/>
      <c r="E401" s="713" t="s">
        <v>2719</v>
      </c>
      <c r="G401" s="701">
        <v>6960</v>
      </c>
    </row>
    <row r="402" spans="1:8" outlineLevel="1" x14ac:dyDescent="0.2">
      <c r="A402" s="803"/>
      <c r="B402" s="712">
        <v>40761</v>
      </c>
      <c r="D402"/>
    </row>
    <row r="403" spans="1:8" outlineLevel="1" x14ac:dyDescent="0.2">
      <c r="A403" s="803"/>
      <c r="B403" s="712">
        <v>40762</v>
      </c>
      <c r="C403" t="s">
        <v>2712</v>
      </c>
      <c r="D403" t="s">
        <v>2713</v>
      </c>
      <c r="E403" s="713" t="s">
        <v>2714</v>
      </c>
      <c r="G403" s="896">
        <v>2395</v>
      </c>
    </row>
    <row r="404" spans="1:8" outlineLevel="1" x14ac:dyDescent="0.2">
      <c r="A404" s="803"/>
      <c r="B404" s="712">
        <v>40763</v>
      </c>
      <c r="C404" t="s">
        <v>367</v>
      </c>
      <c r="D404" t="s">
        <v>2707</v>
      </c>
      <c r="E404" t="s">
        <v>2707</v>
      </c>
      <c r="G404" s="701">
        <v>2785</v>
      </c>
    </row>
    <row r="405" spans="1:8" outlineLevel="1" x14ac:dyDescent="0.2">
      <c r="A405" s="803"/>
      <c r="B405" s="712">
        <v>40763</v>
      </c>
      <c r="C405" t="s">
        <v>2894</v>
      </c>
      <c r="D405" t="s">
        <v>2988</v>
      </c>
      <c r="E405" s="713" t="s">
        <v>1035</v>
      </c>
      <c r="G405" s="701">
        <v>540</v>
      </c>
    </row>
    <row r="406" spans="1:8" outlineLevel="1" x14ac:dyDescent="0.2">
      <c r="A406" s="803"/>
      <c r="B406" s="712">
        <v>40763</v>
      </c>
      <c r="C406" t="s">
        <v>2708</v>
      </c>
      <c r="D406" s="713" t="s">
        <v>2709</v>
      </c>
      <c r="E406" s="713" t="s">
        <v>2709</v>
      </c>
      <c r="G406" s="701">
        <v>4038</v>
      </c>
    </row>
    <row r="407" spans="1:8" outlineLevel="1" x14ac:dyDescent="0.2">
      <c r="A407" s="803"/>
      <c r="B407" s="712">
        <v>40763</v>
      </c>
      <c r="C407" t="s">
        <v>2739</v>
      </c>
      <c r="D407" t="s">
        <v>2740</v>
      </c>
      <c r="E407" t="s">
        <v>1035</v>
      </c>
      <c r="G407" s="701">
        <v>1000</v>
      </c>
    </row>
    <row r="408" spans="1:8" outlineLevel="1" x14ac:dyDescent="0.2">
      <c r="A408" s="803"/>
      <c r="B408" s="712">
        <v>40764</v>
      </c>
      <c r="D408"/>
    </row>
    <row r="409" spans="1:8" outlineLevel="1" x14ac:dyDescent="0.2">
      <c r="A409" s="803"/>
      <c r="B409" s="712">
        <v>40765</v>
      </c>
      <c r="C409" s="713" t="s">
        <v>2706</v>
      </c>
      <c r="D409" t="s">
        <v>2784</v>
      </c>
      <c r="E409" s="713" t="s">
        <v>2700</v>
      </c>
      <c r="G409" s="701">
        <v>12570</v>
      </c>
      <c r="H409" s="617" t="s">
        <v>3017</v>
      </c>
    </row>
    <row r="410" spans="1:8" outlineLevel="1" x14ac:dyDescent="0.2">
      <c r="A410" s="803"/>
      <c r="B410" s="712">
        <v>40765</v>
      </c>
      <c r="D410" t="s">
        <v>2994</v>
      </c>
      <c r="E410" t="s">
        <v>1035</v>
      </c>
      <c r="G410" s="701">
        <v>2700</v>
      </c>
      <c r="H410" s="617" t="s">
        <v>3018</v>
      </c>
    </row>
    <row r="411" spans="1:8" outlineLevel="1" x14ac:dyDescent="0.2">
      <c r="A411" s="803"/>
      <c r="B411" s="712">
        <v>40766</v>
      </c>
      <c r="C411" s="713" t="s">
        <v>2989</v>
      </c>
      <c r="D411" t="s">
        <v>2992</v>
      </c>
      <c r="E411" s="713" t="s">
        <v>1035</v>
      </c>
      <c r="G411" s="701">
        <v>4500</v>
      </c>
    </row>
    <row r="412" spans="1:8" outlineLevel="1" x14ac:dyDescent="0.2">
      <c r="A412" s="803"/>
      <c r="B412" s="712">
        <v>40766</v>
      </c>
      <c r="C412" s="713" t="s">
        <v>2989</v>
      </c>
      <c r="D412" t="s">
        <v>2993</v>
      </c>
      <c r="E412" s="713" t="s">
        <v>1035</v>
      </c>
      <c r="G412" s="701">
        <v>400</v>
      </c>
    </row>
    <row r="413" spans="1:8" outlineLevel="1" x14ac:dyDescent="0.2">
      <c r="A413" s="803"/>
      <c r="B413" s="712">
        <v>40767</v>
      </c>
      <c r="C413" s="713" t="s">
        <v>2989</v>
      </c>
      <c r="D413" t="s">
        <v>2990</v>
      </c>
      <c r="E413" t="s">
        <v>1035</v>
      </c>
      <c r="G413" s="701">
        <v>2400</v>
      </c>
    </row>
    <row r="414" spans="1:8" outlineLevel="1" x14ac:dyDescent="0.2">
      <c r="A414" s="803"/>
      <c r="B414" s="712">
        <v>40767</v>
      </c>
      <c r="C414" s="713" t="s">
        <v>2989</v>
      </c>
      <c r="D414" t="s">
        <v>2991</v>
      </c>
      <c r="E414" t="s">
        <v>2707</v>
      </c>
      <c r="G414" s="701">
        <v>2400</v>
      </c>
    </row>
    <row r="415" spans="1:8" outlineLevel="1" x14ac:dyDescent="0.2">
      <c r="A415" s="803"/>
      <c r="B415" s="712">
        <v>40767</v>
      </c>
      <c r="C415" s="713" t="s">
        <v>2989</v>
      </c>
      <c r="D415" t="s">
        <v>2707</v>
      </c>
      <c r="E415" t="s">
        <v>2707</v>
      </c>
      <c r="G415" s="701">
        <v>4500</v>
      </c>
    </row>
    <row r="416" spans="1:8" outlineLevel="1" x14ac:dyDescent="0.2">
      <c r="A416" s="803"/>
      <c r="B416" s="712">
        <v>40768</v>
      </c>
      <c r="C416" s="713" t="s">
        <v>2989</v>
      </c>
      <c r="D416"/>
    </row>
    <row r="417" spans="1:7" outlineLevel="1" x14ac:dyDescent="0.2">
      <c r="A417" s="803"/>
      <c r="B417" s="712">
        <v>40769</v>
      </c>
      <c r="C417" s="713" t="s">
        <v>2989</v>
      </c>
      <c r="D417" t="s">
        <v>2997</v>
      </c>
      <c r="E417" s="713" t="s">
        <v>2707</v>
      </c>
      <c r="G417" s="701">
        <v>2600</v>
      </c>
    </row>
    <row r="418" spans="1:7" outlineLevel="1" x14ac:dyDescent="0.2">
      <c r="A418" s="803"/>
      <c r="B418" s="712">
        <v>40769</v>
      </c>
      <c r="C418" s="713" t="s">
        <v>2989</v>
      </c>
      <c r="D418" t="s">
        <v>2995</v>
      </c>
      <c r="E418" s="713" t="s">
        <v>2707</v>
      </c>
      <c r="G418" s="701">
        <v>4000</v>
      </c>
    </row>
    <row r="419" spans="1:7" outlineLevel="1" x14ac:dyDescent="0.2">
      <c r="A419" s="803"/>
      <c r="B419" s="712">
        <v>40770</v>
      </c>
      <c r="C419" s="713" t="s">
        <v>2989</v>
      </c>
      <c r="D419" t="s">
        <v>2932</v>
      </c>
      <c r="E419" s="713" t="s">
        <v>2707</v>
      </c>
      <c r="G419" s="701">
        <v>725</v>
      </c>
    </row>
    <row r="420" spans="1:7" outlineLevel="1" x14ac:dyDescent="0.2">
      <c r="A420" s="803"/>
      <c r="B420" s="712">
        <v>40770</v>
      </c>
      <c r="C420" s="713" t="s">
        <v>2989</v>
      </c>
      <c r="D420" t="s">
        <v>2990</v>
      </c>
      <c r="E420" t="s">
        <v>1035</v>
      </c>
      <c r="G420" s="701">
        <v>2400</v>
      </c>
    </row>
    <row r="421" spans="1:7" outlineLevel="1" x14ac:dyDescent="0.2">
      <c r="A421" s="803"/>
      <c r="B421" s="712">
        <v>40770</v>
      </c>
      <c r="C421" s="713" t="s">
        <v>2989</v>
      </c>
      <c r="D421" t="s">
        <v>2996</v>
      </c>
      <c r="E421" s="713" t="s">
        <v>2707</v>
      </c>
      <c r="G421" s="701">
        <v>2000</v>
      </c>
    </row>
    <row r="422" spans="1:7" outlineLevel="1" x14ac:dyDescent="0.2">
      <c r="A422" s="803"/>
      <c r="B422" s="712">
        <v>40770</v>
      </c>
      <c r="C422" t="s">
        <v>367</v>
      </c>
      <c r="D422" t="s">
        <v>2707</v>
      </c>
      <c r="E422" t="s">
        <v>2707</v>
      </c>
      <c r="G422" s="701">
        <v>5892</v>
      </c>
    </row>
    <row r="423" spans="1:7" outlineLevel="1" x14ac:dyDescent="0.2">
      <c r="A423" s="803"/>
      <c r="B423" s="712">
        <v>40771</v>
      </c>
      <c r="C423" t="s">
        <v>2712</v>
      </c>
      <c r="D423" t="s">
        <v>2713</v>
      </c>
      <c r="E423" s="713" t="s">
        <v>2714</v>
      </c>
      <c r="G423" s="896">
        <v>2550</v>
      </c>
    </row>
    <row r="424" spans="1:7" outlineLevel="1" x14ac:dyDescent="0.2">
      <c r="A424" s="803"/>
      <c r="B424" s="712">
        <v>40771</v>
      </c>
      <c r="C424" t="s">
        <v>2758</v>
      </c>
      <c r="D424" s="713" t="s">
        <v>2759</v>
      </c>
      <c r="E424" s="713" t="s">
        <v>2707</v>
      </c>
      <c r="G424" s="701">
        <v>3300</v>
      </c>
    </row>
    <row r="425" spans="1:7" outlineLevel="1" x14ac:dyDescent="0.2">
      <c r="A425" s="803"/>
      <c r="B425" s="712">
        <v>40771</v>
      </c>
      <c r="C425" t="s">
        <v>2732</v>
      </c>
      <c r="D425" t="s">
        <v>2729</v>
      </c>
      <c r="E425" t="s">
        <v>2730</v>
      </c>
      <c r="G425" s="701">
        <v>500</v>
      </c>
    </row>
    <row r="426" spans="1:7" outlineLevel="1" x14ac:dyDescent="0.2">
      <c r="A426" s="803"/>
      <c r="B426" s="712">
        <v>40772</v>
      </c>
      <c r="C426" t="s">
        <v>479</v>
      </c>
      <c r="D426"/>
      <c r="E426" s="713" t="s">
        <v>2719</v>
      </c>
      <c r="G426" s="701">
        <v>8636</v>
      </c>
    </row>
    <row r="427" spans="1:7" outlineLevel="1" x14ac:dyDescent="0.2">
      <c r="A427" s="803"/>
      <c r="B427" s="712">
        <v>40772</v>
      </c>
      <c r="C427" t="s">
        <v>2998</v>
      </c>
      <c r="D427" t="s">
        <v>2707</v>
      </c>
      <c r="E427" t="s">
        <v>2707</v>
      </c>
      <c r="G427" s="701">
        <v>1157</v>
      </c>
    </row>
    <row r="428" spans="1:7" outlineLevel="1" x14ac:dyDescent="0.2">
      <c r="A428" s="803"/>
      <c r="B428" s="712">
        <v>40772</v>
      </c>
      <c r="C428"/>
      <c r="D428" t="s">
        <v>2999</v>
      </c>
      <c r="E428" t="s">
        <v>2722</v>
      </c>
      <c r="G428" s="701">
        <v>2570</v>
      </c>
    </row>
    <row r="429" spans="1:7" outlineLevel="1" x14ac:dyDescent="0.2">
      <c r="A429" s="803"/>
      <c r="B429" s="712">
        <v>40773</v>
      </c>
      <c r="D429"/>
    </row>
    <row r="430" spans="1:7" outlineLevel="1" x14ac:dyDescent="0.2">
      <c r="A430" s="803"/>
      <c r="B430" s="712">
        <v>40774</v>
      </c>
      <c r="C430" t="s">
        <v>367</v>
      </c>
      <c r="D430" t="s">
        <v>2707</v>
      </c>
      <c r="E430" t="s">
        <v>2707</v>
      </c>
      <c r="G430" s="701">
        <v>12317</v>
      </c>
    </row>
    <row r="431" spans="1:7" outlineLevel="1" x14ac:dyDescent="0.2">
      <c r="A431" s="803"/>
      <c r="B431" s="712">
        <v>40775</v>
      </c>
      <c r="D431"/>
    </row>
    <row r="432" spans="1:7" outlineLevel="1" x14ac:dyDescent="0.2">
      <c r="A432" s="803"/>
      <c r="B432" s="712">
        <v>40776</v>
      </c>
      <c r="D432"/>
    </row>
    <row r="433" spans="1:7" outlineLevel="1" x14ac:dyDescent="0.2">
      <c r="A433" s="803"/>
      <c r="B433" s="712">
        <v>40777</v>
      </c>
      <c r="D433"/>
    </row>
    <row r="434" spans="1:7" outlineLevel="1" x14ac:dyDescent="0.2">
      <c r="A434" s="803"/>
      <c r="B434" s="712">
        <v>40778</v>
      </c>
      <c r="C434" t="s">
        <v>367</v>
      </c>
      <c r="D434" t="s">
        <v>2707</v>
      </c>
      <c r="E434" t="s">
        <v>2707</v>
      </c>
      <c r="G434" s="701">
        <v>4130</v>
      </c>
    </row>
    <row r="435" spans="1:7" outlineLevel="1" x14ac:dyDescent="0.2">
      <c r="A435" s="803"/>
      <c r="B435" s="712">
        <v>40778</v>
      </c>
      <c r="C435" t="s">
        <v>2712</v>
      </c>
      <c r="D435" t="s">
        <v>2713</v>
      </c>
      <c r="E435" s="713" t="s">
        <v>2714</v>
      </c>
      <c r="G435" s="896">
        <v>2600</v>
      </c>
    </row>
    <row r="436" spans="1:7" outlineLevel="1" x14ac:dyDescent="0.2">
      <c r="A436" s="803"/>
      <c r="B436" s="712">
        <v>40778</v>
      </c>
      <c r="C436"/>
      <c r="D436" t="s">
        <v>3003</v>
      </c>
      <c r="E436" t="s">
        <v>2722</v>
      </c>
      <c r="G436" s="701">
        <v>2700</v>
      </c>
    </row>
    <row r="437" spans="1:7" outlineLevel="1" x14ac:dyDescent="0.2">
      <c r="A437" s="803"/>
      <c r="B437" s="712">
        <v>40778</v>
      </c>
      <c r="C437"/>
      <c r="D437" t="s">
        <v>3004</v>
      </c>
      <c r="E437" t="s">
        <v>2707</v>
      </c>
      <c r="G437" s="701">
        <v>800</v>
      </c>
    </row>
    <row r="438" spans="1:7" outlineLevel="1" x14ac:dyDescent="0.2">
      <c r="A438" s="803"/>
      <c r="B438" s="712">
        <v>40779</v>
      </c>
      <c r="C438" t="s">
        <v>479</v>
      </c>
      <c r="D438"/>
      <c r="E438" s="713" t="s">
        <v>2719</v>
      </c>
      <c r="G438" s="701">
        <v>2220</v>
      </c>
    </row>
    <row r="439" spans="1:7" outlineLevel="1" x14ac:dyDescent="0.2">
      <c r="A439" s="803"/>
      <c r="B439" s="712">
        <v>40779</v>
      </c>
      <c r="D439" t="s">
        <v>3006</v>
      </c>
      <c r="E439" t="s">
        <v>1035</v>
      </c>
      <c r="G439" s="701">
        <v>500</v>
      </c>
    </row>
    <row r="440" spans="1:7" outlineLevel="1" x14ac:dyDescent="0.2">
      <c r="A440" s="803"/>
      <c r="B440" s="712">
        <v>40779</v>
      </c>
      <c r="D440" t="s">
        <v>3005</v>
      </c>
      <c r="E440" t="s">
        <v>1035</v>
      </c>
      <c r="G440" s="701">
        <v>1800</v>
      </c>
    </row>
    <row r="441" spans="1:7" outlineLevel="1" x14ac:dyDescent="0.2">
      <c r="A441" s="803"/>
      <c r="B441" s="712">
        <v>40779</v>
      </c>
      <c r="C441" t="s">
        <v>2704</v>
      </c>
      <c r="D441" t="s">
        <v>2726</v>
      </c>
      <c r="E441" s="713" t="s">
        <v>2724</v>
      </c>
      <c r="G441" s="701">
        <v>750</v>
      </c>
    </row>
    <row r="442" spans="1:7" outlineLevel="1" x14ac:dyDescent="0.2">
      <c r="A442" s="803"/>
      <c r="B442" s="712">
        <v>40779</v>
      </c>
      <c r="C442" t="s">
        <v>3010</v>
      </c>
      <c r="D442" t="s">
        <v>2780</v>
      </c>
      <c r="E442" s="713" t="s">
        <v>1035</v>
      </c>
      <c r="G442" s="701">
        <v>2750</v>
      </c>
    </row>
    <row r="443" spans="1:7" outlineLevel="1" x14ac:dyDescent="0.2">
      <c r="A443" s="803"/>
      <c r="B443" s="712">
        <v>40780</v>
      </c>
      <c r="C443" t="s">
        <v>1960</v>
      </c>
      <c r="D443" t="s">
        <v>3007</v>
      </c>
      <c r="E443" t="s">
        <v>2750</v>
      </c>
      <c r="G443" s="701">
        <v>1510</v>
      </c>
    </row>
    <row r="444" spans="1:7" outlineLevel="1" x14ac:dyDescent="0.2">
      <c r="A444" s="803"/>
      <c r="B444" s="712">
        <v>40780</v>
      </c>
      <c r="C444" t="s">
        <v>2712</v>
      </c>
      <c r="D444" t="s">
        <v>2713</v>
      </c>
      <c r="E444" s="713" t="s">
        <v>2714</v>
      </c>
      <c r="G444" s="896">
        <v>595</v>
      </c>
    </row>
    <row r="445" spans="1:7" outlineLevel="1" x14ac:dyDescent="0.2">
      <c r="A445" s="803"/>
      <c r="B445" s="712">
        <v>40780</v>
      </c>
      <c r="C445" t="s">
        <v>1960</v>
      </c>
      <c r="D445" t="s">
        <v>3008</v>
      </c>
      <c r="E445" t="s">
        <v>2707</v>
      </c>
      <c r="G445" s="701">
        <v>400</v>
      </c>
    </row>
    <row r="446" spans="1:7" outlineLevel="1" x14ac:dyDescent="0.2">
      <c r="A446" s="803"/>
      <c r="B446" s="712">
        <v>40780</v>
      </c>
      <c r="C446"/>
      <c r="D446" t="s">
        <v>3009</v>
      </c>
      <c r="E446" t="s">
        <v>1035</v>
      </c>
      <c r="G446" s="701">
        <v>10000</v>
      </c>
    </row>
    <row r="447" spans="1:7" outlineLevel="1" x14ac:dyDescent="0.2">
      <c r="A447" s="803"/>
      <c r="B447" s="712">
        <v>40781</v>
      </c>
      <c r="C447" t="s">
        <v>2712</v>
      </c>
      <c r="D447" t="s">
        <v>2713</v>
      </c>
      <c r="E447" s="713" t="s">
        <v>2714</v>
      </c>
      <c r="G447" s="896">
        <v>200</v>
      </c>
    </row>
    <row r="448" spans="1:7" outlineLevel="1" x14ac:dyDescent="0.2">
      <c r="A448" s="803"/>
      <c r="B448" s="712">
        <v>40782</v>
      </c>
      <c r="C448" t="s">
        <v>479</v>
      </c>
      <c r="D448"/>
      <c r="E448" s="713" t="s">
        <v>2719</v>
      </c>
      <c r="G448" s="701">
        <v>3127</v>
      </c>
    </row>
    <row r="449" spans="1:7" outlineLevel="1" x14ac:dyDescent="0.2">
      <c r="A449" s="803"/>
      <c r="B449" s="712">
        <v>40783</v>
      </c>
      <c r="C449" t="s">
        <v>2745</v>
      </c>
      <c r="D449" t="s">
        <v>3015</v>
      </c>
      <c r="E449" s="713" t="s">
        <v>1035</v>
      </c>
      <c r="G449" s="701">
        <v>4500</v>
      </c>
    </row>
    <row r="450" spans="1:7" outlineLevel="1" x14ac:dyDescent="0.2">
      <c r="A450" s="803"/>
      <c r="B450" s="712">
        <v>40783</v>
      </c>
      <c r="C450" t="s">
        <v>3010</v>
      </c>
      <c r="D450" t="s">
        <v>2780</v>
      </c>
      <c r="E450" s="713" t="s">
        <v>1035</v>
      </c>
      <c r="G450" s="701">
        <v>3500</v>
      </c>
    </row>
    <row r="451" spans="1:7" outlineLevel="1" x14ac:dyDescent="0.2">
      <c r="A451" s="803"/>
      <c r="B451" s="712">
        <v>40783</v>
      </c>
      <c r="C451" t="s">
        <v>2745</v>
      </c>
      <c r="D451" t="s">
        <v>2707</v>
      </c>
      <c r="E451" t="s">
        <v>2707</v>
      </c>
      <c r="G451" s="701">
        <v>1200</v>
      </c>
    </row>
    <row r="452" spans="1:7" outlineLevel="1" x14ac:dyDescent="0.2">
      <c r="A452" s="803"/>
      <c r="B452" s="712">
        <v>40783</v>
      </c>
      <c r="C452" t="s">
        <v>2745</v>
      </c>
      <c r="D452" t="s">
        <v>2741</v>
      </c>
      <c r="E452" t="s">
        <v>1035</v>
      </c>
      <c r="G452" s="701">
        <v>4800</v>
      </c>
    </row>
    <row r="453" spans="1:7" outlineLevel="1" x14ac:dyDescent="0.2">
      <c r="A453" s="803"/>
      <c r="B453" s="712">
        <v>40783</v>
      </c>
      <c r="C453" t="s">
        <v>2745</v>
      </c>
      <c r="D453" t="s">
        <v>3016</v>
      </c>
      <c r="E453" t="s">
        <v>2722</v>
      </c>
      <c r="G453" s="701">
        <v>2000</v>
      </c>
    </row>
    <row r="454" spans="1:7" outlineLevel="1" x14ac:dyDescent="0.2">
      <c r="A454" s="803"/>
      <c r="B454" s="712">
        <v>40783</v>
      </c>
      <c r="C454" t="s">
        <v>2745</v>
      </c>
      <c r="D454" t="s">
        <v>2748</v>
      </c>
      <c r="E454" t="s">
        <v>1035</v>
      </c>
      <c r="G454" s="701">
        <v>1200</v>
      </c>
    </row>
    <row r="455" spans="1:7" outlineLevel="1" x14ac:dyDescent="0.2">
      <c r="A455" s="803"/>
      <c r="B455" s="712">
        <v>40784</v>
      </c>
      <c r="C455" t="s">
        <v>2712</v>
      </c>
      <c r="D455" t="s">
        <v>2713</v>
      </c>
      <c r="E455" s="713" t="s">
        <v>2714</v>
      </c>
      <c r="G455" s="896">
        <v>2745</v>
      </c>
    </row>
    <row r="456" spans="1:7" outlineLevel="1" x14ac:dyDescent="0.2">
      <c r="A456" s="803"/>
      <c r="B456" s="712">
        <v>40784</v>
      </c>
      <c r="C456" t="s">
        <v>367</v>
      </c>
      <c r="D456" t="s">
        <v>2707</v>
      </c>
      <c r="E456" t="s">
        <v>2707</v>
      </c>
      <c r="G456" s="701">
        <v>3772</v>
      </c>
    </row>
    <row r="457" spans="1:7" outlineLevel="1" x14ac:dyDescent="0.2">
      <c r="A457" s="803"/>
      <c r="B457" s="712">
        <v>40784</v>
      </c>
      <c r="C457" t="s">
        <v>3012</v>
      </c>
      <c r="D457" t="s">
        <v>3013</v>
      </c>
      <c r="E457" t="s">
        <v>1035</v>
      </c>
      <c r="G457" s="896">
        <f>4179+2524</f>
        <v>6703</v>
      </c>
    </row>
    <row r="458" spans="1:7" outlineLevel="1" x14ac:dyDescent="0.2">
      <c r="A458" s="803"/>
      <c r="B458" s="712">
        <v>40785</v>
      </c>
      <c r="D458" t="s">
        <v>3014</v>
      </c>
      <c r="E458" t="s">
        <v>1035</v>
      </c>
      <c r="G458" s="701">
        <v>4020</v>
      </c>
    </row>
    <row r="459" spans="1:7" outlineLevel="1" x14ac:dyDescent="0.2">
      <c r="A459" s="803"/>
      <c r="B459" s="712">
        <v>40785</v>
      </c>
      <c r="C459" s="713" t="s">
        <v>2706</v>
      </c>
      <c r="D459" t="s">
        <v>2784</v>
      </c>
      <c r="E459" s="713" t="s">
        <v>2700</v>
      </c>
      <c r="G459" s="701">
        <v>10000</v>
      </c>
    </row>
    <row r="460" spans="1:7" outlineLevel="1" x14ac:dyDescent="0.2">
      <c r="A460" s="803"/>
      <c r="B460" s="712">
        <v>40785</v>
      </c>
      <c r="C460" t="s">
        <v>2712</v>
      </c>
      <c r="D460" t="s">
        <v>2713</v>
      </c>
      <c r="E460" s="713" t="s">
        <v>2714</v>
      </c>
      <c r="G460" s="896">
        <v>1200</v>
      </c>
    </row>
    <row r="461" spans="1:7" outlineLevel="1" x14ac:dyDescent="0.2">
      <c r="A461" s="803"/>
      <c r="B461" s="712">
        <v>40786</v>
      </c>
      <c r="D461"/>
    </row>
    <row r="462" spans="1:7" outlineLevel="1" x14ac:dyDescent="0.2">
      <c r="A462" s="803"/>
      <c r="B462" s="712">
        <v>40787</v>
      </c>
      <c r="C462" t="s">
        <v>367</v>
      </c>
      <c r="D462" t="s">
        <v>2707</v>
      </c>
      <c r="E462" t="s">
        <v>2707</v>
      </c>
      <c r="G462" s="701">
        <v>10487</v>
      </c>
    </row>
    <row r="463" spans="1:7" outlineLevel="1" x14ac:dyDescent="0.2">
      <c r="A463" s="803"/>
      <c r="B463" s="712">
        <v>40788</v>
      </c>
    </row>
    <row r="464" spans="1:7" outlineLevel="1" x14ac:dyDescent="0.2">
      <c r="A464" s="803"/>
      <c r="B464" s="712">
        <v>40789</v>
      </c>
      <c r="C464" t="s">
        <v>367</v>
      </c>
      <c r="D464" t="s">
        <v>2707</v>
      </c>
      <c r="E464" t="s">
        <v>2707</v>
      </c>
      <c r="G464" s="701">
        <v>6956</v>
      </c>
    </row>
    <row r="465" spans="1:7" outlineLevel="1" x14ac:dyDescent="0.2">
      <c r="A465" s="803"/>
      <c r="B465" s="712">
        <v>40789</v>
      </c>
      <c r="C465"/>
      <c r="D465" t="s">
        <v>3019</v>
      </c>
      <c r="E465" t="s">
        <v>1035</v>
      </c>
      <c r="G465" s="701">
        <v>1000</v>
      </c>
    </row>
    <row r="466" spans="1:7" outlineLevel="1" x14ac:dyDescent="0.2">
      <c r="A466" s="803"/>
      <c r="B466" s="712">
        <v>40789</v>
      </c>
      <c r="C466"/>
      <c r="D466" t="s">
        <v>3020</v>
      </c>
      <c r="E466" t="s">
        <v>2707</v>
      </c>
      <c r="G466" s="701">
        <v>2000</v>
      </c>
    </row>
    <row r="467" spans="1:7" outlineLevel="1" x14ac:dyDescent="0.2">
      <c r="A467" s="803"/>
      <c r="B467" s="712">
        <v>40790</v>
      </c>
    </row>
    <row r="468" spans="1:7" outlineLevel="1" x14ac:dyDescent="0.2">
      <c r="A468" s="803"/>
      <c r="B468" s="712">
        <v>40791</v>
      </c>
      <c r="C468" t="s">
        <v>2712</v>
      </c>
      <c r="D468" t="s">
        <v>2713</v>
      </c>
      <c r="E468" s="713" t="s">
        <v>2714</v>
      </c>
      <c r="G468" s="896">
        <v>3380</v>
      </c>
    </row>
    <row r="469" spans="1:7" outlineLevel="1" x14ac:dyDescent="0.2">
      <c r="A469" s="803"/>
      <c r="B469" s="712">
        <v>40791</v>
      </c>
      <c r="C469" t="s">
        <v>479</v>
      </c>
      <c r="D469"/>
      <c r="E469" s="713" t="s">
        <v>2719</v>
      </c>
      <c r="G469" s="701">
        <v>8094</v>
      </c>
    </row>
    <row r="470" spans="1:7" outlineLevel="1" x14ac:dyDescent="0.2">
      <c r="A470" s="803"/>
      <c r="B470" s="712">
        <v>40792</v>
      </c>
      <c r="C470"/>
      <c r="D470" t="s">
        <v>2707</v>
      </c>
      <c r="E470" t="s">
        <v>2707</v>
      </c>
      <c r="G470" s="701">
        <v>1100</v>
      </c>
    </row>
    <row r="471" spans="1:7" outlineLevel="1" x14ac:dyDescent="0.2">
      <c r="A471" s="803"/>
      <c r="B471" s="712">
        <v>40792</v>
      </c>
      <c r="C471" t="s">
        <v>2758</v>
      </c>
      <c r="D471" s="713" t="s">
        <v>2759</v>
      </c>
      <c r="E471" s="713" t="s">
        <v>2707</v>
      </c>
      <c r="G471" s="701">
        <v>1900</v>
      </c>
    </row>
    <row r="472" spans="1:7" outlineLevel="1" x14ac:dyDescent="0.2">
      <c r="A472" s="803"/>
      <c r="B472" s="712">
        <v>40792</v>
      </c>
      <c r="D472" s="713" t="s">
        <v>3021</v>
      </c>
      <c r="E472" s="713" t="s">
        <v>1035</v>
      </c>
      <c r="G472" s="701">
        <v>5370</v>
      </c>
    </row>
    <row r="473" spans="1:7" outlineLevel="1" x14ac:dyDescent="0.2">
      <c r="A473" s="803"/>
      <c r="B473" s="712">
        <v>40793</v>
      </c>
      <c r="D473" t="s">
        <v>3022</v>
      </c>
      <c r="E473" s="713" t="s">
        <v>1035</v>
      </c>
      <c r="G473" s="701">
        <v>3500</v>
      </c>
    </row>
    <row r="474" spans="1:7" outlineLevel="1" x14ac:dyDescent="0.2">
      <c r="A474" s="803"/>
      <c r="B474" s="712">
        <v>40793</v>
      </c>
      <c r="D474" t="s">
        <v>3022</v>
      </c>
      <c r="E474" s="713" t="s">
        <v>1035</v>
      </c>
      <c r="G474" s="701">
        <v>1900</v>
      </c>
    </row>
    <row r="475" spans="1:7" outlineLevel="1" x14ac:dyDescent="0.2">
      <c r="A475" s="803"/>
      <c r="B475" s="712">
        <v>40793</v>
      </c>
      <c r="D475" t="s">
        <v>3023</v>
      </c>
      <c r="E475" s="713" t="s">
        <v>1035</v>
      </c>
      <c r="G475" s="701">
        <v>1100</v>
      </c>
    </row>
    <row r="476" spans="1:7" outlineLevel="1" x14ac:dyDescent="0.2">
      <c r="A476" s="803"/>
      <c r="B476" s="712">
        <v>40793</v>
      </c>
      <c r="C476" t="s">
        <v>2708</v>
      </c>
      <c r="D476" s="713" t="s">
        <v>2709</v>
      </c>
      <c r="E476" s="713" t="s">
        <v>2709</v>
      </c>
      <c r="G476" s="701">
        <v>1100</v>
      </c>
    </row>
    <row r="477" spans="1:7" outlineLevel="1" x14ac:dyDescent="0.2">
      <c r="A477" s="803"/>
      <c r="B477" s="712">
        <v>40793</v>
      </c>
      <c r="C477"/>
      <c r="D477" t="s">
        <v>2707</v>
      </c>
      <c r="E477" t="s">
        <v>2707</v>
      </c>
      <c r="G477" s="701">
        <v>350</v>
      </c>
    </row>
    <row r="478" spans="1:7" outlineLevel="1" x14ac:dyDescent="0.2">
      <c r="A478" s="803"/>
      <c r="B478" s="712">
        <v>40794</v>
      </c>
      <c r="C478" t="s">
        <v>367</v>
      </c>
      <c r="D478" t="s">
        <v>2707</v>
      </c>
      <c r="E478" t="s">
        <v>2707</v>
      </c>
      <c r="G478" s="701">
        <v>11820</v>
      </c>
    </row>
    <row r="479" spans="1:7" outlineLevel="1" x14ac:dyDescent="0.2">
      <c r="A479" s="803"/>
      <c r="B479" s="712">
        <v>40794</v>
      </c>
      <c r="C479" t="s">
        <v>2712</v>
      </c>
      <c r="D479" t="s">
        <v>2713</v>
      </c>
      <c r="E479" s="713" t="s">
        <v>2714</v>
      </c>
      <c r="G479" s="896">
        <v>3530</v>
      </c>
    </row>
    <row r="480" spans="1:7" outlineLevel="1" x14ac:dyDescent="0.2">
      <c r="A480" s="803"/>
      <c r="B480" s="712">
        <v>40794</v>
      </c>
      <c r="C480"/>
      <c r="D480" t="s">
        <v>3024</v>
      </c>
      <c r="E480" s="713" t="s">
        <v>2750</v>
      </c>
      <c r="G480" s="701">
        <v>4425</v>
      </c>
    </row>
    <row r="481" spans="1:7" outlineLevel="1" x14ac:dyDescent="0.2">
      <c r="A481" s="803"/>
      <c r="B481" s="712">
        <v>40794</v>
      </c>
      <c r="C481"/>
      <c r="D481" t="s">
        <v>3025</v>
      </c>
      <c r="E481" s="713" t="s">
        <v>1035</v>
      </c>
      <c r="G481" s="701">
        <v>1380</v>
      </c>
    </row>
    <row r="482" spans="1:7" outlineLevel="1" x14ac:dyDescent="0.2">
      <c r="A482" s="803"/>
      <c r="B482" s="712">
        <v>40794</v>
      </c>
      <c r="C482" t="s">
        <v>2708</v>
      </c>
      <c r="D482" s="713" t="s">
        <v>2709</v>
      </c>
      <c r="E482" s="713" t="s">
        <v>2709</v>
      </c>
      <c r="G482" s="701">
        <v>6382</v>
      </c>
    </row>
    <row r="483" spans="1:7" outlineLevel="1" x14ac:dyDescent="0.2">
      <c r="A483" s="803"/>
      <c r="B483" s="712">
        <v>40795</v>
      </c>
    </row>
    <row r="484" spans="1:7" outlineLevel="1" x14ac:dyDescent="0.2">
      <c r="A484" s="803"/>
      <c r="B484" s="712">
        <v>40796</v>
      </c>
    </row>
    <row r="485" spans="1:7" outlineLevel="1" x14ac:dyDescent="0.2">
      <c r="A485" s="803"/>
      <c r="B485" s="712">
        <v>40797</v>
      </c>
      <c r="E485" s="713" t="s">
        <v>2707</v>
      </c>
      <c r="G485" s="701">
        <v>150</v>
      </c>
    </row>
    <row r="486" spans="1:7" outlineLevel="1" x14ac:dyDescent="0.2">
      <c r="A486" s="803"/>
      <c r="B486" s="712">
        <v>40798</v>
      </c>
      <c r="E486" t="s">
        <v>2707</v>
      </c>
      <c r="G486" s="701">
        <v>2780</v>
      </c>
    </row>
    <row r="487" spans="1:7" outlineLevel="1" x14ac:dyDescent="0.2">
      <c r="A487" s="803"/>
      <c r="B487" s="712">
        <v>40798</v>
      </c>
      <c r="E487" t="s">
        <v>2707</v>
      </c>
      <c r="G487" s="701">
        <v>760</v>
      </c>
    </row>
    <row r="488" spans="1:7" outlineLevel="1" x14ac:dyDescent="0.2">
      <c r="A488" s="803"/>
      <c r="B488" s="712">
        <v>40799</v>
      </c>
      <c r="C488" t="s">
        <v>2758</v>
      </c>
      <c r="D488" s="713" t="s">
        <v>2759</v>
      </c>
      <c r="E488" s="713" t="s">
        <v>2707</v>
      </c>
      <c r="G488" s="701">
        <v>3860</v>
      </c>
    </row>
    <row r="489" spans="1:7" outlineLevel="1" x14ac:dyDescent="0.2">
      <c r="A489" s="803"/>
      <c r="B489" s="712">
        <v>40800</v>
      </c>
      <c r="C489"/>
      <c r="D489" t="s">
        <v>2707</v>
      </c>
      <c r="E489" t="s">
        <v>2707</v>
      </c>
      <c r="G489" s="701">
        <v>1690</v>
      </c>
    </row>
    <row r="490" spans="1:7" outlineLevel="1" x14ac:dyDescent="0.2">
      <c r="A490" s="803"/>
      <c r="B490" s="712">
        <v>40800</v>
      </c>
      <c r="C490" t="s">
        <v>2712</v>
      </c>
      <c r="D490" t="s">
        <v>2713</v>
      </c>
      <c r="E490" s="713" t="s">
        <v>2714</v>
      </c>
      <c r="G490" s="896">
        <v>1480</v>
      </c>
    </row>
    <row r="491" spans="1:7" outlineLevel="1" x14ac:dyDescent="0.2">
      <c r="A491" s="803"/>
      <c r="B491" s="712">
        <v>40800</v>
      </c>
      <c r="C491" t="s">
        <v>2708</v>
      </c>
      <c r="D491" s="713" t="s">
        <v>2709</v>
      </c>
      <c r="E491" s="713" t="s">
        <v>2709</v>
      </c>
      <c r="G491" s="701">
        <v>800</v>
      </c>
    </row>
    <row r="492" spans="1:7" outlineLevel="1" x14ac:dyDescent="0.2">
      <c r="A492" s="803"/>
      <c r="B492" s="712">
        <v>40800</v>
      </c>
      <c r="C492"/>
      <c r="D492" t="s">
        <v>3029</v>
      </c>
      <c r="E492" t="s">
        <v>2722</v>
      </c>
      <c r="G492" s="701">
        <v>1900</v>
      </c>
    </row>
    <row r="493" spans="1:7" outlineLevel="1" x14ac:dyDescent="0.2">
      <c r="A493" s="803"/>
      <c r="B493" s="712">
        <v>40801</v>
      </c>
      <c r="C493" s="713" t="s">
        <v>2706</v>
      </c>
      <c r="D493" t="s">
        <v>2784</v>
      </c>
      <c r="E493" s="713" t="s">
        <v>2700</v>
      </c>
      <c r="G493" s="701">
        <v>10000</v>
      </c>
    </row>
    <row r="494" spans="1:7" outlineLevel="1" x14ac:dyDescent="0.2">
      <c r="A494" s="803"/>
      <c r="B494" s="712">
        <v>40802</v>
      </c>
      <c r="C494" s="713" t="s">
        <v>3031</v>
      </c>
      <c r="D494" t="s">
        <v>3030</v>
      </c>
      <c r="E494" s="713" t="s">
        <v>1035</v>
      </c>
      <c r="G494" s="701">
        <v>1300</v>
      </c>
    </row>
    <row r="495" spans="1:7" outlineLevel="1" x14ac:dyDescent="0.2">
      <c r="A495" s="803"/>
      <c r="B495" s="712">
        <v>40802</v>
      </c>
      <c r="C495" s="713" t="s">
        <v>1675</v>
      </c>
      <c r="D495" t="s">
        <v>2826</v>
      </c>
      <c r="E495" s="713" t="s">
        <v>2722</v>
      </c>
      <c r="G495" s="701">
        <v>6000</v>
      </c>
    </row>
    <row r="496" spans="1:7" outlineLevel="1" x14ac:dyDescent="0.2">
      <c r="A496" s="803"/>
      <c r="B496" s="712">
        <v>40802</v>
      </c>
      <c r="C496" s="713" t="s">
        <v>1675</v>
      </c>
      <c r="D496"/>
      <c r="E496" s="713" t="s">
        <v>2707</v>
      </c>
      <c r="G496" s="701">
        <v>3100</v>
      </c>
    </row>
    <row r="497" spans="1:7" outlineLevel="1" x14ac:dyDescent="0.2">
      <c r="A497" s="803"/>
      <c r="B497" s="712">
        <v>40803</v>
      </c>
      <c r="D497" t="s">
        <v>3032</v>
      </c>
      <c r="E497" t="s">
        <v>2750</v>
      </c>
      <c r="G497" s="701">
        <v>550000</v>
      </c>
    </row>
    <row r="498" spans="1:7" outlineLevel="1" x14ac:dyDescent="0.2">
      <c r="A498" s="803"/>
      <c r="B498" s="712">
        <v>40804</v>
      </c>
      <c r="C498" t="s">
        <v>2229</v>
      </c>
      <c r="D498" t="s">
        <v>2707</v>
      </c>
      <c r="E498" t="s">
        <v>2707</v>
      </c>
      <c r="G498" s="701">
        <v>9356</v>
      </c>
    </row>
    <row r="499" spans="1:7" outlineLevel="1" x14ac:dyDescent="0.2">
      <c r="A499" s="803"/>
      <c r="B499" s="712">
        <v>40805</v>
      </c>
      <c r="D499"/>
    </row>
    <row r="500" spans="1:7" outlineLevel="1" x14ac:dyDescent="0.2">
      <c r="A500" s="803"/>
      <c r="B500" s="712">
        <v>40806</v>
      </c>
      <c r="C500" s="713" t="s">
        <v>3033</v>
      </c>
      <c r="D500" t="s">
        <v>3034</v>
      </c>
      <c r="E500" s="713" t="s">
        <v>1035</v>
      </c>
      <c r="G500" s="701">
        <v>5000</v>
      </c>
    </row>
    <row r="501" spans="1:7" outlineLevel="1" x14ac:dyDescent="0.2">
      <c r="A501" s="803"/>
      <c r="B501" s="712">
        <v>40806</v>
      </c>
      <c r="C501" t="s">
        <v>2712</v>
      </c>
      <c r="D501" t="s">
        <v>2713</v>
      </c>
      <c r="E501" s="713" t="s">
        <v>2714</v>
      </c>
      <c r="G501" s="896">
        <v>800</v>
      </c>
    </row>
    <row r="502" spans="1:7" outlineLevel="1" x14ac:dyDescent="0.2">
      <c r="A502" s="803"/>
      <c r="B502" s="712">
        <v>40806</v>
      </c>
      <c r="C502" t="s">
        <v>3035</v>
      </c>
      <c r="D502"/>
      <c r="E502" s="713" t="s">
        <v>1035</v>
      </c>
      <c r="G502" s="701">
        <v>1500</v>
      </c>
    </row>
    <row r="503" spans="1:7" outlineLevel="1" x14ac:dyDescent="0.2">
      <c r="A503" s="803"/>
      <c r="B503" s="712">
        <v>40807</v>
      </c>
      <c r="C503" t="s">
        <v>2758</v>
      </c>
      <c r="D503" s="713" t="s">
        <v>2759</v>
      </c>
      <c r="E503" s="713" t="s">
        <v>2707</v>
      </c>
      <c r="G503" s="701">
        <v>3850</v>
      </c>
    </row>
    <row r="504" spans="1:7" outlineLevel="1" x14ac:dyDescent="0.2">
      <c r="A504" s="803"/>
      <c r="B504" s="712">
        <v>40807</v>
      </c>
      <c r="C504" t="s">
        <v>2822</v>
      </c>
      <c r="D504" t="s">
        <v>2707</v>
      </c>
      <c r="E504" t="s">
        <v>2707</v>
      </c>
      <c r="G504" s="701">
        <v>500</v>
      </c>
    </row>
    <row r="505" spans="1:7" outlineLevel="1" x14ac:dyDescent="0.2">
      <c r="A505" s="803"/>
      <c r="B505" s="712">
        <v>40808</v>
      </c>
      <c r="D505" t="s">
        <v>3046</v>
      </c>
      <c r="E505" t="s">
        <v>1035</v>
      </c>
      <c r="G505" s="701">
        <v>470</v>
      </c>
    </row>
    <row r="506" spans="1:7" outlineLevel="1" x14ac:dyDescent="0.2">
      <c r="A506" s="803"/>
      <c r="B506" s="712">
        <v>40808</v>
      </c>
      <c r="D506" t="s">
        <v>3047</v>
      </c>
      <c r="E506" t="s">
        <v>1035</v>
      </c>
      <c r="G506" s="701">
        <v>800</v>
      </c>
    </row>
    <row r="507" spans="1:7" outlineLevel="1" x14ac:dyDescent="0.2">
      <c r="A507" s="803"/>
      <c r="B507" s="712">
        <v>40808</v>
      </c>
      <c r="C507" s="713" t="s">
        <v>2739</v>
      </c>
      <c r="D507" t="s">
        <v>3048</v>
      </c>
      <c r="E507" t="s">
        <v>1035</v>
      </c>
      <c r="G507" s="701">
        <v>1000</v>
      </c>
    </row>
    <row r="508" spans="1:7" outlineLevel="1" x14ac:dyDescent="0.2">
      <c r="A508" s="803"/>
      <c r="B508" s="712">
        <v>40808</v>
      </c>
      <c r="C508" s="713" t="s">
        <v>2739</v>
      </c>
      <c r="D508" t="s">
        <v>2805</v>
      </c>
      <c r="E508" t="s">
        <v>1035</v>
      </c>
      <c r="G508" s="701">
        <v>8500</v>
      </c>
    </row>
    <row r="509" spans="1:7" outlineLevel="1" x14ac:dyDescent="0.2">
      <c r="A509" s="803"/>
      <c r="B509" s="712">
        <v>40808</v>
      </c>
      <c r="D509" t="s">
        <v>3049</v>
      </c>
      <c r="E509" t="s">
        <v>2719</v>
      </c>
      <c r="G509" s="701">
        <v>440</v>
      </c>
    </row>
    <row r="510" spans="1:7" outlineLevel="1" x14ac:dyDescent="0.2">
      <c r="A510" s="803"/>
      <c r="B510" s="712">
        <v>40809</v>
      </c>
      <c r="C510" t="s">
        <v>3036</v>
      </c>
      <c r="D510" t="s">
        <v>2707</v>
      </c>
      <c r="E510" t="s">
        <v>2707</v>
      </c>
      <c r="G510" s="701">
        <v>250</v>
      </c>
    </row>
    <row r="511" spans="1:7" outlineLevel="1" x14ac:dyDescent="0.2">
      <c r="A511" s="803"/>
      <c r="B511" s="712">
        <v>40809</v>
      </c>
      <c r="C511" t="s">
        <v>3036</v>
      </c>
      <c r="D511" t="s">
        <v>3037</v>
      </c>
      <c r="E511" t="s">
        <v>1035</v>
      </c>
      <c r="G511" s="701">
        <v>2000</v>
      </c>
    </row>
    <row r="512" spans="1:7" outlineLevel="1" x14ac:dyDescent="0.2">
      <c r="A512" s="803"/>
      <c r="B512" s="712">
        <v>40809</v>
      </c>
      <c r="C512" t="s">
        <v>43</v>
      </c>
      <c r="D512" t="s">
        <v>3038</v>
      </c>
      <c r="E512" t="s">
        <v>2750</v>
      </c>
      <c r="G512" s="701">
        <v>1315</v>
      </c>
    </row>
    <row r="513" spans="1:7" outlineLevel="1" x14ac:dyDescent="0.2">
      <c r="A513" s="803"/>
      <c r="B513" s="712">
        <v>40809</v>
      </c>
      <c r="C513" t="s">
        <v>43</v>
      </c>
      <c r="D513" t="s">
        <v>3039</v>
      </c>
      <c r="E513" t="s">
        <v>2750</v>
      </c>
      <c r="G513" s="701">
        <v>795</v>
      </c>
    </row>
    <row r="514" spans="1:7" outlineLevel="1" x14ac:dyDescent="0.2">
      <c r="A514" s="803"/>
      <c r="B514" s="712">
        <v>40809</v>
      </c>
      <c r="C514" t="s">
        <v>2720</v>
      </c>
      <c r="D514" t="s">
        <v>2878</v>
      </c>
      <c r="E514" t="s">
        <v>1035</v>
      </c>
      <c r="G514" s="701">
        <v>3790</v>
      </c>
    </row>
    <row r="515" spans="1:7" outlineLevel="1" x14ac:dyDescent="0.2">
      <c r="A515" s="803"/>
      <c r="B515" s="712">
        <v>40809</v>
      </c>
      <c r="C515" t="s">
        <v>3012</v>
      </c>
      <c r="D515" t="s">
        <v>3040</v>
      </c>
      <c r="E515" t="s">
        <v>1035</v>
      </c>
      <c r="G515" s="701">
        <v>2530</v>
      </c>
    </row>
    <row r="516" spans="1:7" outlineLevel="1" x14ac:dyDescent="0.2">
      <c r="A516" s="803"/>
      <c r="B516" s="712">
        <v>40809</v>
      </c>
      <c r="C516" t="s">
        <v>3041</v>
      </c>
      <c r="D516" t="s">
        <v>3045</v>
      </c>
      <c r="E516" t="s">
        <v>2750</v>
      </c>
      <c r="G516" s="701">
        <v>2500</v>
      </c>
    </row>
    <row r="517" spans="1:7" outlineLevel="1" x14ac:dyDescent="0.2">
      <c r="A517" s="803"/>
      <c r="B517" s="712">
        <v>40809</v>
      </c>
      <c r="C517" t="s">
        <v>3042</v>
      </c>
      <c r="D517" t="s">
        <v>3044</v>
      </c>
      <c r="E517" t="s">
        <v>2750</v>
      </c>
      <c r="G517" s="701">
        <v>10940</v>
      </c>
    </row>
    <row r="518" spans="1:7" outlineLevel="1" x14ac:dyDescent="0.2">
      <c r="A518" s="803"/>
      <c r="B518" s="712">
        <v>40809</v>
      </c>
      <c r="C518" t="s">
        <v>3043</v>
      </c>
      <c r="D518" t="s">
        <v>1417</v>
      </c>
      <c r="E518" t="s">
        <v>2750</v>
      </c>
      <c r="G518" s="701">
        <v>2880</v>
      </c>
    </row>
    <row r="519" spans="1:7" outlineLevel="1" x14ac:dyDescent="0.2">
      <c r="A519" s="803"/>
      <c r="B519" s="712">
        <v>40809</v>
      </c>
      <c r="C519" s="713" t="s">
        <v>2706</v>
      </c>
      <c r="D519" t="s">
        <v>2784</v>
      </c>
      <c r="E519" s="713" t="s">
        <v>2700</v>
      </c>
      <c r="G519" s="701">
        <v>10000</v>
      </c>
    </row>
    <row r="520" spans="1:7" outlineLevel="1" x14ac:dyDescent="0.2">
      <c r="A520" s="803"/>
      <c r="B520" s="712">
        <v>40809</v>
      </c>
      <c r="C520" t="s">
        <v>367</v>
      </c>
      <c r="D520" t="s">
        <v>2707</v>
      </c>
      <c r="E520" t="s">
        <v>2707</v>
      </c>
      <c r="G520" s="701">
        <v>13648</v>
      </c>
    </row>
    <row r="521" spans="1:7" outlineLevel="1" x14ac:dyDescent="0.2">
      <c r="A521" s="803"/>
      <c r="B521" s="712">
        <v>40809</v>
      </c>
      <c r="C521" t="s">
        <v>2712</v>
      </c>
      <c r="D521" t="s">
        <v>2713</v>
      </c>
      <c r="E521" s="713" t="s">
        <v>2714</v>
      </c>
      <c r="G521" s="896">
        <v>2975</v>
      </c>
    </row>
    <row r="522" spans="1:7" outlineLevel="1" x14ac:dyDescent="0.2">
      <c r="A522" s="803"/>
      <c r="B522" s="712">
        <v>40810</v>
      </c>
      <c r="C522" t="s">
        <v>43</v>
      </c>
      <c r="D522" t="s">
        <v>3039</v>
      </c>
      <c r="E522" t="s">
        <v>2750</v>
      </c>
      <c r="G522" s="701">
        <v>1965</v>
      </c>
    </row>
    <row r="523" spans="1:7" outlineLevel="1" x14ac:dyDescent="0.2">
      <c r="A523" s="803"/>
      <c r="B523" s="712">
        <v>40810</v>
      </c>
      <c r="C523" t="s">
        <v>1815</v>
      </c>
      <c r="D523" t="s">
        <v>3050</v>
      </c>
      <c r="E523" t="s">
        <v>2750</v>
      </c>
      <c r="G523" s="701">
        <v>2070</v>
      </c>
    </row>
    <row r="524" spans="1:7" outlineLevel="1" x14ac:dyDescent="0.2">
      <c r="A524" s="803"/>
      <c r="B524" s="712">
        <v>40811</v>
      </c>
      <c r="D524"/>
    </row>
    <row r="525" spans="1:7" outlineLevel="1" x14ac:dyDescent="0.2">
      <c r="A525" s="803"/>
      <c r="B525" s="712">
        <v>40812</v>
      </c>
      <c r="C525"/>
      <c r="D525" t="s">
        <v>2707</v>
      </c>
      <c r="E525" t="s">
        <v>2707</v>
      </c>
      <c r="G525" s="701">
        <v>2100</v>
      </c>
    </row>
    <row r="526" spans="1:7" outlineLevel="1" x14ac:dyDescent="0.2">
      <c r="A526" s="803"/>
      <c r="B526" s="712">
        <v>40813</v>
      </c>
      <c r="C526" t="s">
        <v>2849</v>
      </c>
      <c r="D526" t="s">
        <v>3051</v>
      </c>
      <c r="E526" t="s">
        <v>2722</v>
      </c>
      <c r="G526" s="701">
        <v>5980</v>
      </c>
    </row>
    <row r="527" spans="1:7" outlineLevel="1" x14ac:dyDescent="0.2">
      <c r="A527" s="803"/>
      <c r="B527" s="712">
        <v>40814</v>
      </c>
      <c r="C527" t="s">
        <v>1675</v>
      </c>
      <c r="D527" t="s">
        <v>2707</v>
      </c>
      <c r="E527" t="s">
        <v>2707</v>
      </c>
      <c r="G527" s="701">
        <v>3960</v>
      </c>
    </row>
    <row r="528" spans="1:7" outlineLevel="1" x14ac:dyDescent="0.2">
      <c r="A528" s="803"/>
      <c r="B528" s="712">
        <v>40815</v>
      </c>
      <c r="C528" t="s">
        <v>367</v>
      </c>
      <c r="D528" t="s">
        <v>2707</v>
      </c>
      <c r="E528" t="s">
        <v>2707</v>
      </c>
      <c r="G528" s="701">
        <v>14029</v>
      </c>
    </row>
    <row r="529" spans="1:7" outlineLevel="1" x14ac:dyDescent="0.2">
      <c r="A529" s="803"/>
      <c r="B529" s="712">
        <v>40815</v>
      </c>
      <c r="C529" t="s">
        <v>2712</v>
      </c>
      <c r="D529" t="s">
        <v>2713</v>
      </c>
      <c r="E529" s="713" t="s">
        <v>2714</v>
      </c>
      <c r="G529" s="896">
        <v>3150</v>
      </c>
    </row>
    <row r="530" spans="1:7" outlineLevel="1" x14ac:dyDescent="0.2">
      <c r="A530" s="803"/>
      <c r="B530" s="712">
        <v>40816</v>
      </c>
      <c r="D530"/>
    </row>
    <row r="531" spans="1:7" outlineLevel="1" x14ac:dyDescent="0.2">
      <c r="A531" s="803"/>
      <c r="B531" s="712">
        <v>40817</v>
      </c>
      <c r="C531" t="s">
        <v>367</v>
      </c>
      <c r="D531" t="s">
        <v>2707</v>
      </c>
      <c r="E531" t="s">
        <v>2707</v>
      </c>
      <c r="G531" s="701">
        <v>1626</v>
      </c>
    </row>
    <row r="532" spans="1:7" outlineLevel="1" x14ac:dyDescent="0.2">
      <c r="A532" s="803"/>
      <c r="B532" s="712">
        <v>40817</v>
      </c>
      <c r="C532" t="s">
        <v>2708</v>
      </c>
      <c r="D532" s="713" t="s">
        <v>2709</v>
      </c>
      <c r="E532" s="713" t="s">
        <v>2709</v>
      </c>
      <c r="G532" s="701">
        <v>1929</v>
      </c>
    </row>
    <row r="533" spans="1:7" outlineLevel="1" x14ac:dyDescent="0.2">
      <c r="A533" s="803"/>
      <c r="B533" s="712">
        <v>40817</v>
      </c>
      <c r="C533" t="s">
        <v>479</v>
      </c>
      <c r="D533"/>
      <c r="E533" s="713" t="s">
        <v>2719</v>
      </c>
      <c r="G533" s="701">
        <v>6044</v>
      </c>
    </row>
    <row r="534" spans="1:7" outlineLevel="1" x14ac:dyDescent="0.2">
      <c r="A534" s="803"/>
      <c r="B534" s="712">
        <v>40817</v>
      </c>
      <c r="D534" t="s">
        <v>3052</v>
      </c>
      <c r="E534" s="713" t="s">
        <v>2722</v>
      </c>
      <c r="G534" s="701">
        <v>490</v>
      </c>
    </row>
    <row r="535" spans="1:7" outlineLevel="1" x14ac:dyDescent="0.2">
      <c r="A535" s="803"/>
      <c r="B535" s="712">
        <v>40817</v>
      </c>
      <c r="D535" t="s">
        <v>3053</v>
      </c>
      <c r="E535" s="713" t="s">
        <v>1035</v>
      </c>
      <c r="G535" s="701">
        <v>1330</v>
      </c>
    </row>
    <row r="536" spans="1:7" outlineLevel="1" x14ac:dyDescent="0.2">
      <c r="A536" s="803"/>
      <c r="B536" s="712">
        <v>40818</v>
      </c>
      <c r="C536" s="713" t="s">
        <v>2706</v>
      </c>
      <c r="D536" t="s">
        <v>2784</v>
      </c>
      <c r="E536" s="713" t="s">
        <v>2700</v>
      </c>
      <c r="G536" s="701">
        <v>10000</v>
      </c>
    </row>
    <row r="537" spans="1:7" outlineLevel="1" x14ac:dyDescent="0.2">
      <c r="A537" s="803"/>
      <c r="B537" s="712">
        <v>40819</v>
      </c>
      <c r="D537"/>
    </row>
    <row r="538" spans="1:7" outlineLevel="1" x14ac:dyDescent="0.2">
      <c r="A538" s="803"/>
      <c r="B538" s="712">
        <v>40820</v>
      </c>
      <c r="C538" t="s">
        <v>2712</v>
      </c>
      <c r="D538" t="s">
        <v>2713</v>
      </c>
      <c r="E538" s="713" t="s">
        <v>2714</v>
      </c>
      <c r="G538" s="896">
        <v>2170</v>
      </c>
    </row>
    <row r="539" spans="1:7" outlineLevel="1" x14ac:dyDescent="0.2">
      <c r="A539" s="803"/>
      <c r="B539" s="712">
        <v>40821</v>
      </c>
      <c r="D539" t="s">
        <v>3054</v>
      </c>
      <c r="E539" s="713" t="s">
        <v>1035</v>
      </c>
      <c r="G539" s="701">
        <v>1600</v>
      </c>
    </row>
    <row r="540" spans="1:7" outlineLevel="1" x14ac:dyDescent="0.2">
      <c r="A540" s="803"/>
      <c r="B540" s="712">
        <v>40821</v>
      </c>
      <c r="D540" t="s">
        <v>3056</v>
      </c>
      <c r="E540" s="713" t="s">
        <v>1035</v>
      </c>
      <c r="G540" s="701">
        <v>3750</v>
      </c>
    </row>
    <row r="541" spans="1:7" outlineLevel="1" x14ac:dyDescent="0.2">
      <c r="A541" s="803"/>
      <c r="B541" s="712">
        <v>40821</v>
      </c>
      <c r="D541" t="s">
        <v>3055</v>
      </c>
      <c r="E541" s="713" t="s">
        <v>1035</v>
      </c>
      <c r="G541" s="701">
        <v>180</v>
      </c>
    </row>
    <row r="542" spans="1:7" outlineLevel="1" x14ac:dyDescent="0.2">
      <c r="A542" s="803"/>
      <c r="B542" s="712">
        <v>40821</v>
      </c>
      <c r="C542" t="s">
        <v>1675</v>
      </c>
      <c r="D542" t="s">
        <v>2707</v>
      </c>
      <c r="E542" t="s">
        <v>2707</v>
      </c>
      <c r="G542" s="701">
        <v>2415</v>
      </c>
    </row>
    <row r="543" spans="1:7" outlineLevel="1" x14ac:dyDescent="0.2">
      <c r="A543" s="803"/>
      <c r="B543" s="712">
        <v>40822</v>
      </c>
      <c r="D543"/>
    </row>
    <row r="544" spans="1:7" outlineLevel="1" x14ac:dyDescent="0.2">
      <c r="A544" s="803"/>
      <c r="B544" s="712">
        <v>40823</v>
      </c>
      <c r="C544" t="s">
        <v>3058</v>
      </c>
      <c r="D544" t="s">
        <v>3057</v>
      </c>
      <c r="E544" s="713" t="s">
        <v>2719</v>
      </c>
      <c r="G544" s="701">
        <v>2015</v>
      </c>
    </row>
    <row r="545" spans="1:7" outlineLevel="1" x14ac:dyDescent="0.2">
      <c r="A545" s="803"/>
      <c r="B545" s="712">
        <v>40823</v>
      </c>
      <c r="C545" t="s">
        <v>2758</v>
      </c>
      <c r="D545" s="713" t="s">
        <v>2759</v>
      </c>
      <c r="E545" s="713" t="s">
        <v>2707</v>
      </c>
      <c r="G545" s="701">
        <v>4445</v>
      </c>
    </row>
    <row r="546" spans="1:7" outlineLevel="1" x14ac:dyDescent="0.2">
      <c r="A546" s="803"/>
      <c r="B546" s="712">
        <v>40823</v>
      </c>
      <c r="C546" t="s">
        <v>2712</v>
      </c>
      <c r="D546" t="s">
        <v>2713</v>
      </c>
      <c r="E546" s="713" t="s">
        <v>2714</v>
      </c>
      <c r="G546" s="896">
        <v>1890</v>
      </c>
    </row>
    <row r="547" spans="1:7" outlineLevel="1" x14ac:dyDescent="0.2">
      <c r="A547" s="803"/>
      <c r="B547" s="712">
        <v>40823</v>
      </c>
      <c r="C547"/>
      <c r="D547"/>
    </row>
    <row r="548" spans="1:7" outlineLevel="1" x14ac:dyDescent="0.2">
      <c r="A548" s="803"/>
      <c r="B548" s="712">
        <v>40823</v>
      </c>
      <c r="C548"/>
      <c r="D548"/>
    </row>
    <row r="549" spans="1:7" outlineLevel="1" x14ac:dyDescent="0.2">
      <c r="A549" s="803"/>
      <c r="B549" s="712">
        <v>40823</v>
      </c>
      <c r="C549"/>
      <c r="D549"/>
    </row>
    <row r="550" spans="1:7" outlineLevel="1" x14ac:dyDescent="0.2">
      <c r="A550" s="803"/>
      <c r="B550" s="712">
        <v>40824</v>
      </c>
      <c r="C550" t="s">
        <v>367</v>
      </c>
      <c r="D550" t="s">
        <v>2707</v>
      </c>
      <c r="E550" t="s">
        <v>2707</v>
      </c>
      <c r="G550" s="701">
        <v>7702</v>
      </c>
    </row>
    <row r="551" spans="1:7" outlineLevel="1" x14ac:dyDescent="0.2">
      <c r="A551" s="803"/>
      <c r="B551" s="712">
        <v>40825</v>
      </c>
      <c r="C551"/>
      <c r="D551" t="s">
        <v>3059</v>
      </c>
      <c r="E551" t="s">
        <v>1035</v>
      </c>
      <c r="G551" s="701">
        <v>2500</v>
      </c>
    </row>
    <row r="552" spans="1:7" outlineLevel="1" x14ac:dyDescent="0.2">
      <c r="A552" s="803"/>
      <c r="B552" s="712">
        <v>40826</v>
      </c>
      <c r="C552" s="713" t="s">
        <v>2706</v>
      </c>
      <c r="D552" t="s">
        <v>2784</v>
      </c>
      <c r="E552" s="713" t="s">
        <v>2700</v>
      </c>
      <c r="G552" s="701">
        <v>10000</v>
      </c>
    </row>
    <row r="553" spans="1:7" outlineLevel="1" x14ac:dyDescent="0.2">
      <c r="A553" s="803"/>
      <c r="B553" s="712">
        <v>40826</v>
      </c>
      <c r="C553" t="s">
        <v>2708</v>
      </c>
      <c r="D553" s="713" t="s">
        <v>2709</v>
      </c>
      <c r="E553" s="713" t="s">
        <v>2709</v>
      </c>
      <c r="G553" s="701">
        <v>2370</v>
      </c>
    </row>
    <row r="554" spans="1:7" outlineLevel="1" x14ac:dyDescent="0.2">
      <c r="A554" s="803"/>
      <c r="B554" s="712">
        <v>40827</v>
      </c>
      <c r="D554" s="713" t="s">
        <v>3063</v>
      </c>
      <c r="E554" s="713" t="s">
        <v>2722</v>
      </c>
      <c r="G554" s="701">
        <v>1200</v>
      </c>
    </row>
    <row r="555" spans="1:7" outlineLevel="1" x14ac:dyDescent="0.2">
      <c r="A555" s="803"/>
      <c r="B555" s="712">
        <v>40827</v>
      </c>
      <c r="D555" t="s">
        <v>3071</v>
      </c>
      <c r="E555" s="713" t="s">
        <v>2707</v>
      </c>
      <c r="G555" s="701">
        <v>2400</v>
      </c>
    </row>
    <row r="556" spans="1:7" outlineLevel="1" x14ac:dyDescent="0.2">
      <c r="A556" s="803"/>
      <c r="B556" s="712">
        <v>40828</v>
      </c>
      <c r="D556" t="s">
        <v>3064</v>
      </c>
      <c r="E556" s="713" t="s">
        <v>2722</v>
      </c>
      <c r="G556" s="701">
        <v>8000</v>
      </c>
    </row>
    <row r="557" spans="1:7" outlineLevel="1" x14ac:dyDescent="0.2">
      <c r="A557" s="803"/>
      <c r="B557" s="712">
        <v>40828</v>
      </c>
      <c r="D557" t="s">
        <v>3065</v>
      </c>
      <c r="E557" s="713" t="s">
        <v>2722</v>
      </c>
      <c r="G557" s="701">
        <v>2490</v>
      </c>
    </row>
    <row r="558" spans="1:7" outlineLevel="1" x14ac:dyDescent="0.2">
      <c r="A558" s="803"/>
      <c r="B558" s="712">
        <v>40828</v>
      </c>
      <c r="C558" t="s">
        <v>2712</v>
      </c>
      <c r="D558" t="s">
        <v>2713</v>
      </c>
      <c r="E558" s="713" t="s">
        <v>2714</v>
      </c>
      <c r="G558" s="896">
        <v>900</v>
      </c>
    </row>
    <row r="559" spans="1:7" outlineLevel="1" x14ac:dyDescent="0.2">
      <c r="A559" s="803"/>
      <c r="B559" s="712">
        <v>40828</v>
      </c>
      <c r="D559" t="s">
        <v>3066</v>
      </c>
      <c r="E559" s="713" t="s">
        <v>1035</v>
      </c>
      <c r="G559" s="701">
        <v>760</v>
      </c>
    </row>
    <row r="560" spans="1:7" outlineLevel="1" x14ac:dyDescent="0.2">
      <c r="A560" s="803"/>
      <c r="B560" s="712">
        <v>40828</v>
      </c>
      <c r="D560" t="s">
        <v>2932</v>
      </c>
      <c r="E560" s="713" t="s">
        <v>2707</v>
      </c>
      <c r="G560" s="701">
        <v>880</v>
      </c>
    </row>
    <row r="561" spans="1:7" outlineLevel="1" x14ac:dyDescent="0.2">
      <c r="A561" s="803"/>
      <c r="B561" s="712">
        <v>40828</v>
      </c>
      <c r="D561" t="s">
        <v>3067</v>
      </c>
      <c r="E561" s="713" t="s">
        <v>1035</v>
      </c>
      <c r="G561" s="701">
        <v>10600</v>
      </c>
    </row>
    <row r="562" spans="1:7" outlineLevel="1" x14ac:dyDescent="0.2">
      <c r="A562" s="803"/>
      <c r="B562" s="712">
        <v>40828</v>
      </c>
      <c r="D562" t="s">
        <v>3067</v>
      </c>
      <c r="E562" s="713" t="s">
        <v>1035</v>
      </c>
      <c r="G562" s="701">
        <v>1600</v>
      </c>
    </row>
    <row r="563" spans="1:7" outlineLevel="1" x14ac:dyDescent="0.2">
      <c r="A563" s="803"/>
      <c r="B563" s="712">
        <v>40828</v>
      </c>
      <c r="D563"/>
      <c r="E563" s="713" t="s">
        <v>2707</v>
      </c>
      <c r="G563" s="701">
        <v>2020</v>
      </c>
    </row>
    <row r="564" spans="1:7" outlineLevel="1" x14ac:dyDescent="0.2">
      <c r="A564" s="803"/>
      <c r="B564" s="712">
        <v>40829</v>
      </c>
      <c r="D564" t="s">
        <v>2833</v>
      </c>
      <c r="E564" s="713" t="s">
        <v>1035</v>
      </c>
      <c r="G564" s="701">
        <v>2800</v>
      </c>
    </row>
    <row r="565" spans="1:7" outlineLevel="1" x14ac:dyDescent="0.2">
      <c r="A565" s="803"/>
      <c r="B565" s="712">
        <v>40829</v>
      </c>
      <c r="D565" t="s">
        <v>3068</v>
      </c>
      <c r="E565" s="713" t="s">
        <v>1035</v>
      </c>
      <c r="G565" s="701">
        <v>2790</v>
      </c>
    </row>
    <row r="566" spans="1:7" outlineLevel="1" x14ac:dyDescent="0.2">
      <c r="A566" s="803"/>
      <c r="B566" s="712">
        <v>40829</v>
      </c>
      <c r="D566" t="s">
        <v>3069</v>
      </c>
      <c r="E566" s="713" t="s">
        <v>1035</v>
      </c>
      <c r="G566" s="701">
        <v>2000</v>
      </c>
    </row>
    <row r="567" spans="1:7" outlineLevel="1" x14ac:dyDescent="0.2">
      <c r="A567" s="803"/>
      <c r="B567" s="712">
        <v>40829</v>
      </c>
      <c r="D567" t="s">
        <v>3070</v>
      </c>
      <c r="E567" s="713" t="s">
        <v>2707</v>
      </c>
      <c r="G567" s="701">
        <v>6640</v>
      </c>
    </row>
    <row r="568" spans="1:7" outlineLevel="1" x14ac:dyDescent="0.2">
      <c r="A568" s="803"/>
      <c r="B568" s="712">
        <v>40829</v>
      </c>
      <c r="C568" t="s">
        <v>2830</v>
      </c>
      <c r="D568" t="s">
        <v>2707</v>
      </c>
      <c r="E568" s="713" t="s">
        <v>2707</v>
      </c>
      <c r="G568" s="701">
        <v>850</v>
      </c>
    </row>
    <row r="569" spans="1:7" outlineLevel="1" x14ac:dyDescent="0.2">
      <c r="A569" s="803"/>
      <c r="B569" s="712">
        <v>40830</v>
      </c>
      <c r="C569" t="s">
        <v>2712</v>
      </c>
      <c r="D569" t="s">
        <v>2713</v>
      </c>
      <c r="E569" s="713" t="s">
        <v>2714</v>
      </c>
      <c r="G569" s="896">
        <v>2665</v>
      </c>
    </row>
    <row r="570" spans="1:7" outlineLevel="1" x14ac:dyDescent="0.2">
      <c r="A570" s="803"/>
      <c r="B570" s="712">
        <v>40830</v>
      </c>
      <c r="C570" t="s">
        <v>367</v>
      </c>
      <c r="D570" t="s">
        <v>2707</v>
      </c>
      <c r="E570" t="s">
        <v>2707</v>
      </c>
      <c r="G570" s="701">
        <v>16990</v>
      </c>
    </row>
    <row r="571" spans="1:7" outlineLevel="1" x14ac:dyDescent="0.2">
      <c r="A571" s="803"/>
      <c r="B571" s="712">
        <v>40831</v>
      </c>
      <c r="C571" t="s">
        <v>2758</v>
      </c>
      <c r="D571" s="713" t="s">
        <v>2759</v>
      </c>
      <c r="E571" s="713" t="s">
        <v>2707</v>
      </c>
      <c r="G571" s="701">
        <v>2000</v>
      </c>
    </row>
    <row r="572" spans="1:7" outlineLevel="1" x14ac:dyDescent="0.2">
      <c r="A572" s="803"/>
      <c r="B572" s="712">
        <v>40831</v>
      </c>
      <c r="C572" t="s">
        <v>3062</v>
      </c>
      <c r="D572" t="s">
        <v>2707</v>
      </c>
      <c r="E572" t="s">
        <v>1035</v>
      </c>
      <c r="G572" s="701">
        <v>13500</v>
      </c>
    </row>
    <row r="573" spans="1:7" outlineLevel="1" x14ac:dyDescent="0.2">
      <c r="A573" s="803"/>
      <c r="B573" s="712">
        <v>40832</v>
      </c>
      <c r="C573" t="s">
        <v>3060</v>
      </c>
      <c r="D573" t="s">
        <v>3061</v>
      </c>
      <c r="E573" t="s">
        <v>2750</v>
      </c>
      <c r="G573" s="701">
        <v>760</v>
      </c>
    </row>
    <row r="574" spans="1:7" outlineLevel="1" x14ac:dyDescent="0.2">
      <c r="A574" s="803"/>
      <c r="B574" s="712">
        <v>40832</v>
      </c>
      <c r="C574" t="s">
        <v>2708</v>
      </c>
      <c r="D574" s="713" t="s">
        <v>2709</v>
      </c>
      <c r="E574" s="713" t="s">
        <v>2709</v>
      </c>
      <c r="G574" s="701">
        <v>5070</v>
      </c>
    </row>
    <row r="575" spans="1:7" outlineLevel="1" x14ac:dyDescent="0.2">
      <c r="A575" s="803"/>
      <c r="B575" s="712">
        <v>40833</v>
      </c>
      <c r="C575"/>
      <c r="D575" s="713" t="s">
        <v>3076</v>
      </c>
      <c r="E575" s="713" t="s">
        <v>2722</v>
      </c>
      <c r="G575" s="701">
        <v>8540</v>
      </c>
    </row>
    <row r="576" spans="1:7" outlineLevel="1" x14ac:dyDescent="0.2">
      <c r="A576" s="803"/>
      <c r="B576" s="712">
        <v>40833</v>
      </c>
      <c r="C576"/>
      <c r="D576" t="s">
        <v>3077</v>
      </c>
      <c r="E576" s="713" t="s">
        <v>2722</v>
      </c>
      <c r="G576" s="701">
        <v>9900</v>
      </c>
    </row>
    <row r="577" spans="1:7" outlineLevel="1" x14ac:dyDescent="0.2">
      <c r="A577" s="803"/>
      <c r="B577" s="712">
        <v>40833</v>
      </c>
      <c r="C577" t="s">
        <v>479</v>
      </c>
      <c r="D577"/>
      <c r="E577" s="713" t="s">
        <v>2719</v>
      </c>
      <c r="G577" s="701">
        <v>2528</v>
      </c>
    </row>
    <row r="578" spans="1:7" outlineLevel="1" x14ac:dyDescent="0.2">
      <c r="A578" s="803"/>
      <c r="B578" s="712">
        <v>40833</v>
      </c>
      <c r="C578"/>
      <c r="D578" t="s">
        <v>2786</v>
      </c>
      <c r="E578" s="713" t="s">
        <v>1035</v>
      </c>
      <c r="G578" s="701">
        <v>450</v>
      </c>
    </row>
    <row r="579" spans="1:7" outlineLevel="1" x14ac:dyDescent="0.2">
      <c r="A579" s="803"/>
      <c r="B579" s="712">
        <v>40833</v>
      </c>
      <c r="C579"/>
      <c r="D579" t="s">
        <v>2763</v>
      </c>
      <c r="E579" s="713" t="s">
        <v>2707</v>
      </c>
      <c r="G579" s="701">
        <v>1200</v>
      </c>
    </row>
    <row r="580" spans="1:7" outlineLevel="1" x14ac:dyDescent="0.2">
      <c r="A580" s="803"/>
      <c r="B580" s="712">
        <v>40834</v>
      </c>
      <c r="C580" s="713" t="s">
        <v>2706</v>
      </c>
      <c r="D580" t="s">
        <v>2784</v>
      </c>
      <c r="E580" s="713" t="s">
        <v>2700</v>
      </c>
      <c r="G580" s="701">
        <v>10000</v>
      </c>
    </row>
    <row r="581" spans="1:7" outlineLevel="1" x14ac:dyDescent="0.2">
      <c r="A581" s="803"/>
      <c r="B581" s="712">
        <v>40835</v>
      </c>
      <c r="D581"/>
    </row>
    <row r="582" spans="1:7" outlineLevel="1" x14ac:dyDescent="0.2">
      <c r="A582" s="803"/>
      <c r="B582" s="712">
        <v>40836</v>
      </c>
      <c r="C582" t="s">
        <v>2712</v>
      </c>
      <c r="D582" t="s">
        <v>2713</v>
      </c>
      <c r="E582" s="713" t="s">
        <v>2714</v>
      </c>
      <c r="G582" s="896">
        <v>2270</v>
      </c>
    </row>
    <row r="583" spans="1:7" outlineLevel="1" x14ac:dyDescent="0.2">
      <c r="A583" s="803"/>
      <c r="B583" s="712">
        <v>40836</v>
      </c>
      <c r="C583" t="s">
        <v>367</v>
      </c>
      <c r="D583" t="s">
        <v>2707</v>
      </c>
      <c r="E583" t="s">
        <v>2707</v>
      </c>
      <c r="G583" s="701">
        <v>6310</v>
      </c>
    </row>
    <row r="584" spans="1:7" outlineLevel="1" x14ac:dyDescent="0.2">
      <c r="A584" s="803"/>
      <c r="B584" s="712">
        <v>40836</v>
      </c>
      <c r="C584"/>
      <c r="D584" t="s">
        <v>2786</v>
      </c>
      <c r="E584" t="s">
        <v>1035</v>
      </c>
      <c r="G584" s="701">
        <v>100</v>
      </c>
    </row>
    <row r="585" spans="1:7" outlineLevel="1" x14ac:dyDescent="0.2">
      <c r="A585" s="803"/>
      <c r="B585" s="712">
        <v>40836</v>
      </c>
      <c r="C585"/>
      <c r="D585" t="s">
        <v>3079</v>
      </c>
      <c r="E585" t="s">
        <v>3078</v>
      </c>
      <c r="G585" s="701">
        <v>120000</v>
      </c>
    </row>
    <row r="586" spans="1:7" outlineLevel="1" x14ac:dyDescent="0.2">
      <c r="A586" s="803"/>
      <c r="B586" s="712">
        <v>40836</v>
      </c>
      <c r="C586"/>
      <c r="D586" t="s">
        <v>3080</v>
      </c>
      <c r="E586" t="s">
        <v>1035</v>
      </c>
      <c r="G586" s="701">
        <v>820</v>
      </c>
    </row>
    <row r="587" spans="1:7" outlineLevel="1" x14ac:dyDescent="0.2">
      <c r="A587" s="803"/>
      <c r="B587" s="712">
        <v>40837</v>
      </c>
      <c r="C587" t="s">
        <v>2708</v>
      </c>
      <c r="D587" s="713" t="s">
        <v>2709</v>
      </c>
      <c r="E587" s="713" t="s">
        <v>2709</v>
      </c>
      <c r="G587" s="701">
        <v>375</v>
      </c>
    </row>
    <row r="588" spans="1:7" outlineLevel="1" x14ac:dyDescent="0.2">
      <c r="A588" s="803"/>
      <c r="B588" s="712">
        <v>40838</v>
      </c>
      <c r="C588" t="s">
        <v>2710</v>
      </c>
      <c r="D588" t="s">
        <v>3086</v>
      </c>
      <c r="E588" t="s">
        <v>2705</v>
      </c>
      <c r="G588" s="701">
        <v>20800</v>
      </c>
    </row>
    <row r="589" spans="1:7" outlineLevel="1" x14ac:dyDescent="0.2">
      <c r="A589" s="803"/>
      <c r="B589" s="712">
        <v>40838</v>
      </c>
      <c r="C589"/>
      <c r="D589" t="s">
        <v>3087</v>
      </c>
      <c r="E589" s="713" t="s">
        <v>2722</v>
      </c>
      <c r="G589" s="701">
        <v>2100</v>
      </c>
    </row>
    <row r="590" spans="1:7" outlineLevel="1" x14ac:dyDescent="0.2">
      <c r="A590" s="803"/>
      <c r="B590" s="712">
        <v>40838</v>
      </c>
      <c r="C590" t="s">
        <v>2712</v>
      </c>
      <c r="D590" t="s">
        <v>2713</v>
      </c>
      <c r="E590" s="713" t="s">
        <v>2714</v>
      </c>
      <c r="G590" s="896">
        <v>840</v>
      </c>
    </row>
    <row r="591" spans="1:7" outlineLevel="1" x14ac:dyDescent="0.2">
      <c r="A591" s="803"/>
      <c r="B591" s="712">
        <v>40838</v>
      </c>
      <c r="C591" t="s">
        <v>2758</v>
      </c>
      <c r="D591" s="713" t="s">
        <v>2759</v>
      </c>
      <c r="E591" s="713" t="s">
        <v>2707</v>
      </c>
      <c r="G591" s="701">
        <v>3985</v>
      </c>
    </row>
    <row r="592" spans="1:7" outlineLevel="1" x14ac:dyDescent="0.2">
      <c r="A592" s="803"/>
      <c r="B592" s="712">
        <v>40838</v>
      </c>
      <c r="C592"/>
      <c r="D592" t="s">
        <v>3088</v>
      </c>
      <c r="E592" t="s">
        <v>3078</v>
      </c>
      <c r="G592" s="701">
        <v>2000</v>
      </c>
    </row>
    <row r="593" spans="1:7" outlineLevel="1" x14ac:dyDescent="0.2">
      <c r="A593" s="803"/>
      <c r="B593" s="712">
        <v>40839</v>
      </c>
      <c r="D593"/>
    </row>
    <row r="594" spans="1:7" outlineLevel="1" x14ac:dyDescent="0.2">
      <c r="A594" s="803"/>
      <c r="B594" s="712">
        <v>40840</v>
      </c>
      <c r="D594" t="s">
        <v>3096</v>
      </c>
      <c r="E594" s="713" t="s">
        <v>2722</v>
      </c>
      <c r="G594" s="701">
        <v>2590</v>
      </c>
    </row>
    <row r="595" spans="1:7" outlineLevel="1" x14ac:dyDescent="0.2">
      <c r="A595" s="803"/>
      <c r="B595" s="712">
        <v>40840</v>
      </c>
      <c r="D595" t="s">
        <v>3097</v>
      </c>
      <c r="E595" s="713" t="s">
        <v>2722</v>
      </c>
      <c r="G595" s="701">
        <v>790</v>
      </c>
    </row>
    <row r="596" spans="1:7" outlineLevel="1" x14ac:dyDescent="0.2">
      <c r="A596" s="803"/>
      <c r="B596" s="712">
        <v>40840</v>
      </c>
      <c r="C596" t="s">
        <v>479</v>
      </c>
      <c r="D596"/>
      <c r="E596" s="713" t="s">
        <v>2719</v>
      </c>
      <c r="G596" s="701">
        <v>5240</v>
      </c>
    </row>
    <row r="597" spans="1:7" outlineLevel="1" x14ac:dyDescent="0.2">
      <c r="A597" s="803"/>
      <c r="B597" s="712">
        <v>40840</v>
      </c>
      <c r="D597" t="s">
        <v>3098</v>
      </c>
      <c r="E597" s="713" t="s">
        <v>1035</v>
      </c>
      <c r="G597" s="701">
        <v>2500</v>
      </c>
    </row>
    <row r="598" spans="1:7" outlineLevel="1" x14ac:dyDescent="0.2">
      <c r="A598" s="803"/>
      <c r="B598" s="712">
        <v>40841</v>
      </c>
      <c r="D598"/>
    </row>
    <row r="599" spans="1:7" outlineLevel="1" x14ac:dyDescent="0.2">
      <c r="A599" s="803"/>
      <c r="B599" s="712">
        <v>40842</v>
      </c>
      <c r="C599" t="s">
        <v>2712</v>
      </c>
      <c r="D599" t="s">
        <v>2713</v>
      </c>
      <c r="E599" s="713" t="s">
        <v>2714</v>
      </c>
      <c r="G599" s="896">
        <v>2685</v>
      </c>
    </row>
    <row r="600" spans="1:7" outlineLevel="1" x14ac:dyDescent="0.2">
      <c r="A600" s="803"/>
      <c r="B600" s="712">
        <v>40842</v>
      </c>
      <c r="C600" t="s">
        <v>2708</v>
      </c>
      <c r="D600" s="713" t="s">
        <v>2709</v>
      </c>
      <c r="E600" s="713" t="s">
        <v>2709</v>
      </c>
      <c r="G600" s="701">
        <v>2300</v>
      </c>
    </row>
    <row r="601" spans="1:7" outlineLevel="1" x14ac:dyDescent="0.2">
      <c r="A601" s="803"/>
      <c r="B601" s="712">
        <v>40843</v>
      </c>
      <c r="D601"/>
    </row>
    <row r="602" spans="1:7" outlineLevel="1" x14ac:dyDescent="0.2">
      <c r="A602" s="803"/>
      <c r="B602" s="712">
        <v>40844</v>
      </c>
      <c r="D602"/>
    </row>
    <row r="603" spans="1:7" outlineLevel="1" x14ac:dyDescent="0.2">
      <c r="A603" s="803"/>
      <c r="B603" s="712">
        <v>40845</v>
      </c>
      <c r="C603" t="s">
        <v>2712</v>
      </c>
      <c r="D603" t="s">
        <v>2713</v>
      </c>
      <c r="E603" s="713" t="s">
        <v>2714</v>
      </c>
      <c r="G603" s="896">
        <v>695</v>
      </c>
    </row>
    <row r="604" spans="1:7" outlineLevel="1" x14ac:dyDescent="0.2">
      <c r="A604" s="803"/>
      <c r="B604" s="712">
        <v>40845</v>
      </c>
      <c r="C604"/>
      <c r="D604" t="s">
        <v>3099</v>
      </c>
      <c r="E604" s="713" t="s">
        <v>2707</v>
      </c>
      <c r="G604" s="896">
        <v>1100</v>
      </c>
    </row>
    <row r="605" spans="1:7" outlineLevel="1" x14ac:dyDescent="0.2">
      <c r="A605" s="803"/>
      <c r="B605" s="712">
        <v>40845</v>
      </c>
      <c r="C605" t="s">
        <v>367</v>
      </c>
      <c r="D605" t="s">
        <v>2707</v>
      </c>
      <c r="E605" t="s">
        <v>2707</v>
      </c>
      <c r="G605" s="701">
        <v>4220</v>
      </c>
    </row>
    <row r="606" spans="1:7" outlineLevel="1" x14ac:dyDescent="0.2">
      <c r="A606" s="803"/>
      <c r="B606" s="712">
        <v>40845</v>
      </c>
      <c r="C606"/>
      <c r="D606" t="s">
        <v>3100</v>
      </c>
      <c r="E606" t="s">
        <v>1035</v>
      </c>
      <c r="G606" s="896">
        <v>2625</v>
      </c>
    </row>
    <row r="607" spans="1:7" outlineLevel="1" x14ac:dyDescent="0.2">
      <c r="A607" s="803"/>
      <c r="B607" s="712">
        <v>40846</v>
      </c>
      <c r="D607"/>
    </row>
    <row r="608" spans="1:7" outlineLevel="1" x14ac:dyDescent="0.2">
      <c r="A608" s="803"/>
      <c r="B608" s="712">
        <v>40847</v>
      </c>
      <c r="C608" t="s">
        <v>2745</v>
      </c>
      <c r="D608" t="s">
        <v>3101</v>
      </c>
      <c r="E608" s="713" t="s">
        <v>1035</v>
      </c>
      <c r="G608" s="701">
        <v>5000</v>
      </c>
    </row>
    <row r="609" spans="1:7" outlineLevel="1" x14ac:dyDescent="0.2">
      <c r="A609" s="803"/>
      <c r="B609" s="712">
        <v>40848</v>
      </c>
      <c r="C609" t="s">
        <v>2745</v>
      </c>
      <c r="D609" t="s">
        <v>3102</v>
      </c>
      <c r="E609" s="713" t="s">
        <v>1035</v>
      </c>
      <c r="G609" s="701">
        <v>2700</v>
      </c>
    </row>
    <row r="610" spans="1:7" outlineLevel="1" x14ac:dyDescent="0.2">
      <c r="A610" s="803"/>
      <c r="B610" s="712">
        <v>40848</v>
      </c>
      <c r="C610" t="s">
        <v>2712</v>
      </c>
      <c r="D610" t="s">
        <v>2713</v>
      </c>
      <c r="E610" s="713" t="s">
        <v>2714</v>
      </c>
      <c r="G610" s="896">
        <v>1385</v>
      </c>
    </row>
    <row r="611" spans="1:7" outlineLevel="1" x14ac:dyDescent="0.2">
      <c r="A611" s="803"/>
      <c r="B611" s="712">
        <v>40849</v>
      </c>
      <c r="C611" t="s">
        <v>1675</v>
      </c>
      <c r="D611" t="s">
        <v>2707</v>
      </c>
      <c r="E611" t="s">
        <v>2707</v>
      </c>
      <c r="G611" s="701">
        <v>6705</v>
      </c>
    </row>
    <row r="612" spans="1:7" outlineLevel="1" x14ac:dyDescent="0.2">
      <c r="A612" s="803"/>
      <c r="B612" s="712">
        <v>40850</v>
      </c>
      <c r="D612" t="s">
        <v>2707</v>
      </c>
      <c r="E612" t="s">
        <v>2707</v>
      </c>
      <c r="G612" s="701">
        <v>675</v>
      </c>
    </row>
    <row r="613" spans="1:7" outlineLevel="1" x14ac:dyDescent="0.2">
      <c r="A613" s="803"/>
      <c r="B613" s="712">
        <v>40850</v>
      </c>
      <c r="C613" t="s">
        <v>2712</v>
      </c>
      <c r="D613" t="s">
        <v>2713</v>
      </c>
      <c r="E613" s="713" t="s">
        <v>2714</v>
      </c>
      <c r="G613" s="896">
        <v>760</v>
      </c>
    </row>
    <row r="614" spans="1:7" outlineLevel="1" x14ac:dyDescent="0.2">
      <c r="A614" s="803"/>
      <c r="B614" s="712">
        <v>40850</v>
      </c>
      <c r="C614" t="s">
        <v>3104</v>
      </c>
      <c r="D614" t="s">
        <v>3103</v>
      </c>
      <c r="E614" s="713" t="s">
        <v>1035</v>
      </c>
      <c r="G614" s="701">
        <v>1975</v>
      </c>
    </row>
    <row r="615" spans="1:7" outlineLevel="1" x14ac:dyDescent="0.2">
      <c r="A615" s="803"/>
      <c r="B615" s="712">
        <v>40851</v>
      </c>
      <c r="D615"/>
    </row>
    <row r="616" spans="1:7" outlineLevel="1" x14ac:dyDescent="0.2">
      <c r="A616" s="803"/>
      <c r="B616" s="712">
        <v>40852</v>
      </c>
      <c r="C616" t="s">
        <v>367</v>
      </c>
      <c r="D616" t="s">
        <v>2707</v>
      </c>
      <c r="E616" t="s">
        <v>2707</v>
      </c>
      <c r="G616" s="701">
        <v>10805</v>
      </c>
    </row>
    <row r="617" spans="1:7" outlineLevel="1" x14ac:dyDescent="0.2">
      <c r="A617" s="803"/>
      <c r="B617" s="712">
        <v>40853</v>
      </c>
      <c r="D617"/>
    </row>
    <row r="618" spans="1:7" outlineLevel="1" x14ac:dyDescent="0.2">
      <c r="A618" s="803"/>
      <c r="B618" s="712">
        <v>40854</v>
      </c>
      <c r="C618" t="s">
        <v>2712</v>
      </c>
      <c r="D618" t="s">
        <v>3105</v>
      </c>
      <c r="E618" s="713" t="s">
        <v>2714</v>
      </c>
      <c r="G618" s="896">
        <v>760</v>
      </c>
    </row>
    <row r="619" spans="1:7" outlineLevel="1" x14ac:dyDescent="0.2">
      <c r="A619" s="803"/>
      <c r="B619" s="712">
        <v>40854</v>
      </c>
      <c r="C619" s="713" t="s">
        <v>2706</v>
      </c>
      <c r="D619" t="s">
        <v>2784</v>
      </c>
      <c r="E619" s="713" t="s">
        <v>2700</v>
      </c>
      <c r="G619" s="701">
        <v>2000</v>
      </c>
    </row>
    <row r="620" spans="1:7" outlineLevel="1" x14ac:dyDescent="0.2">
      <c r="A620" s="803"/>
      <c r="B620" s="712">
        <v>40855</v>
      </c>
      <c r="D620" t="s">
        <v>3106</v>
      </c>
      <c r="E620" s="713" t="s">
        <v>1035</v>
      </c>
      <c r="G620" s="701">
        <v>7140</v>
      </c>
    </row>
    <row r="621" spans="1:7" outlineLevel="1" x14ac:dyDescent="0.2">
      <c r="A621" s="803"/>
      <c r="B621" s="712">
        <v>40855</v>
      </c>
      <c r="D621" t="s">
        <v>3107</v>
      </c>
      <c r="E621" s="713" t="s">
        <v>1035</v>
      </c>
      <c r="G621" s="701">
        <v>2770</v>
      </c>
    </row>
    <row r="622" spans="1:7" outlineLevel="1" x14ac:dyDescent="0.2">
      <c r="A622" s="803"/>
      <c r="B622" s="712">
        <v>40856</v>
      </c>
      <c r="C622" t="s">
        <v>367</v>
      </c>
      <c r="D622" t="s">
        <v>2707</v>
      </c>
      <c r="E622" t="s">
        <v>2707</v>
      </c>
      <c r="G622" s="701">
        <v>1678</v>
      </c>
    </row>
    <row r="623" spans="1:7" outlineLevel="1" x14ac:dyDescent="0.2">
      <c r="A623" s="803"/>
      <c r="B623" s="712">
        <v>40856</v>
      </c>
      <c r="C623" t="s">
        <v>1675</v>
      </c>
      <c r="D623" t="s">
        <v>2707</v>
      </c>
      <c r="E623" t="s">
        <v>2707</v>
      </c>
      <c r="G623" s="701">
        <v>3938</v>
      </c>
    </row>
    <row r="624" spans="1:7" outlineLevel="1" x14ac:dyDescent="0.2">
      <c r="A624" s="803"/>
      <c r="B624" s="712">
        <v>40856</v>
      </c>
      <c r="C624"/>
      <c r="D624" t="s">
        <v>3111</v>
      </c>
      <c r="E624" t="s">
        <v>1035</v>
      </c>
      <c r="G624" s="701">
        <v>5000</v>
      </c>
    </row>
    <row r="625" spans="1:7" outlineLevel="1" x14ac:dyDescent="0.2">
      <c r="A625" s="803"/>
      <c r="B625" s="712">
        <v>40856</v>
      </c>
      <c r="C625" t="s">
        <v>2712</v>
      </c>
      <c r="D625" t="s">
        <v>2713</v>
      </c>
      <c r="E625" s="713" t="s">
        <v>2714</v>
      </c>
      <c r="G625" s="896">
        <v>505</v>
      </c>
    </row>
    <row r="626" spans="1:7" outlineLevel="1" x14ac:dyDescent="0.2">
      <c r="A626" s="803"/>
      <c r="B626" s="712">
        <v>40856</v>
      </c>
      <c r="C626"/>
      <c r="D626" t="s">
        <v>2891</v>
      </c>
      <c r="E626" s="713" t="s">
        <v>1035</v>
      </c>
      <c r="G626" s="701">
        <v>200</v>
      </c>
    </row>
    <row r="627" spans="1:7" outlineLevel="1" x14ac:dyDescent="0.2">
      <c r="A627" s="803"/>
      <c r="B627" s="712">
        <v>40856</v>
      </c>
      <c r="C627"/>
      <c r="D627" t="s">
        <v>3112</v>
      </c>
      <c r="E627" s="713" t="s">
        <v>2722</v>
      </c>
      <c r="G627" s="701">
        <v>4350</v>
      </c>
    </row>
    <row r="628" spans="1:7" outlineLevel="1" x14ac:dyDescent="0.2">
      <c r="A628" s="803"/>
      <c r="B628" s="712">
        <v>40856</v>
      </c>
      <c r="C628" t="s">
        <v>2758</v>
      </c>
      <c r="D628" t="s">
        <v>2759</v>
      </c>
      <c r="E628" s="713" t="s">
        <v>2707</v>
      </c>
      <c r="G628" s="701">
        <v>2385</v>
      </c>
    </row>
    <row r="629" spans="1:7" outlineLevel="1" x14ac:dyDescent="0.2">
      <c r="A629" s="803"/>
      <c r="B629" s="712">
        <v>40856</v>
      </c>
      <c r="C629" s="713" t="s">
        <v>2706</v>
      </c>
      <c r="D629" t="s">
        <v>2784</v>
      </c>
      <c r="E629" s="713" t="s">
        <v>2700</v>
      </c>
      <c r="G629" s="701">
        <v>10000</v>
      </c>
    </row>
    <row r="630" spans="1:7" outlineLevel="1" x14ac:dyDescent="0.2">
      <c r="A630" s="803"/>
      <c r="B630" s="712">
        <v>40857</v>
      </c>
      <c r="D630" t="s">
        <v>3108</v>
      </c>
      <c r="E630" t="s">
        <v>1035</v>
      </c>
      <c r="G630" s="701">
        <v>1875</v>
      </c>
    </row>
    <row r="631" spans="1:7" outlineLevel="1" x14ac:dyDescent="0.2">
      <c r="A631" s="803"/>
      <c r="B631" s="712">
        <v>40857</v>
      </c>
      <c r="D631" t="s">
        <v>3109</v>
      </c>
      <c r="E631" t="s">
        <v>1035</v>
      </c>
      <c r="G631" s="701">
        <v>1200</v>
      </c>
    </row>
    <row r="632" spans="1:7" outlineLevel="1" x14ac:dyDescent="0.2">
      <c r="A632" s="803"/>
      <c r="B632" s="712">
        <v>40857</v>
      </c>
      <c r="C632" t="s">
        <v>3110</v>
      </c>
      <c r="D632" t="s">
        <v>2414</v>
      </c>
      <c r="E632" t="s">
        <v>2705</v>
      </c>
      <c r="G632" s="701">
        <v>1950</v>
      </c>
    </row>
    <row r="633" spans="1:7" outlineLevel="1" x14ac:dyDescent="0.2">
      <c r="A633" s="803"/>
      <c r="B633" s="712">
        <v>40857</v>
      </c>
      <c r="C633" t="s">
        <v>479</v>
      </c>
      <c r="D633"/>
      <c r="E633" t="s">
        <v>2719</v>
      </c>
      <c r="G633" s="701">
        <v>6300</v>
      </c>
    </row>
    <row r="634" spans="1:7" outlineLevel="1" x14ac:dyDescent="0.2">
      <c r="A634" s="803"/>
      <c r="B634" s="712">
        <v>40858</v>
      </c>
      <c r="D634"/>
    </row>
    <row r="635" spans="1:7" outlineLevel="1" x14ac:dyDescent="0.2">
      <c r="A635" s="803"/>
      <c r="B635" s="712">
        <v>40859</v>
      </c>
      <c r="C635" t="s">
        <v>367</v>
      </c>
      <c r="D635"/>
      <c r="E635" s="713" t="s">
        <v>2707</v>
      </c>
      <c r="G635" s="701">
        <v>577</v>
      </c>
    </row>
    <row r="636" spans="1:7" outlineLevel="1" x14ac:dyDescent="0.2">
      <c r="A636" s="803"/>
      <c r="B636" s="712">
        <v>40859</v>
      </c>
      <c r="C636" t="s">
        <v>2708</v>
      </c>
      <c r="D636" s="713" t="s">
        <v>2709</v>
      </c>
      <c r="E636" s="713" t="s">
        <v>2709</v>
      </c>
      <c r="G636" s="701">
        <v>828</v>
      </c>
    </row>
    <row r="637" spans="1:7" outlineLevel="1" x14ac:dyDescent="0.2">
      <c r="A637" s="803"/>
      <c r="B637" s="712">
        <v>40859</v>
      </c>
      <c r="D637" t="s">
        <v>3052</v>
      </c>
      <c r="E637" s="713" t="s">
        <v>2722</v>
      </c>
      <c r="G637" s="701">
        <v>590</v>
      </c>
    </row>
    <row r="638" spans="1:7" outlineLevel="1" x14ac:dyDescent="0.2">
      <c r="A638" s="803"/>
      <c r="B638" s="712">
        <v>40859</v>
      </c>
      <c r="D638" t="s">
        <v>3118</v>
      </c>
      <c r="E638" s="713" t="s">
        <v>2722</v>
      </c>
      <c r="G638" s="701">
        <v>4190</v>
      </c>
    </row>
    <row r="639" spans="1:7" outlineLevel="1" x14ac:dyDescent="0.2">
      <c r="A639" s="803"/>
      <c r="B639" s="712">
        <v>40859</v>
      </c>
      <c r="D639" t="s">
        <v>3119</v>
      </c>
      <c r="E639" s="713" t="s">
        <v>1035</v>
      </c>
      <c r="G639" s="701">
        <v>1410</v>
      </c>
    </row>
    <row r="640" spans="1:7" outlineLevel="1" x14ac:dyDescent="0.2">
      <c r="A640" s="803"/>
      <c r="B640" s="712">
        <v>40859</v>
      </c>
      <c r="D640" t="s">
        <v>3120</v>
      </c>
      <c r="E640" s="713" t="s">
        <v>1035</v>
      </c>
      <c r="G640" s="701">
        <v>545</v>
      </c>
    </row>
    <row r="641" spans="1:7" outlineLevel="1" x14ac:dyDescent="0.2">
      <c r="A641" s="803"/>
      <c r="B641" s="712">
        <v>40859</v>
      </c>
      <c r="C641" t="s">
        <v>2246</v>
      </c>
      <c r="D641" t="s">
        <v>3117</v>
      </c>
      <c r="E641" s="713" t="s">
        <v>1035</v>
      </c>
      <c r="G641" s="701">
        <v>1520</v>
      </c>
    </row>
    <row r="642" spans="1:7" outlineLevel="1" x14ac:dyDescent="0.2">
      <c r="A642" s="803"/>
      <c r="B642" s="712">
        <v>40859</v>
      </c>
      <c r="C642" t="s">
        <v>3036</v>
      </c>
      <c r="D642"/>
      <c r="E642" s="713" t="s">
        <v>2722</v>
      </c>
      <c r="G642" s="701">
        <v>7200</v>
      </c>
    </row>
    <row r="643" spans="1:7" outlineLevel="1" x14ac:dyDescent="0.2">
      <c r="A643" s="803"/>
      <c r="B643" s="712">
        <v>40860</v>
      </c>
      <c r="C643" s="713" t="s">
        <v>2706</v>
      </c>
      <c r="D643" t="s">
        <v>2784</v>
      </c>
      <c r="E643" s="713" t="s">
        <v>2700</v>
      </c>
      <c r="G643" s="701">
        <v>10000</v>
      </c>
    </row>
    <row r="644" spans="1:7" outlineLevel="1" x14ac:dyDescent="0.2">
      <c r="A644" s="803"/>
      <c r="B644" s="712">
        <v>40861</v>
      </c>
      <c r="D644"/>
    </row>
    <row r="645" spans="1:7" outlineLevel="1" x14ac:dyDescent="0.2">
      <c r="A645" s="803"/>
      <c r="B645" s="712">
        <v>40862</v>
      </c>
      <c r="C645" t="s">
        <v>367</v>
      </c>
      <c r="D645"/>
      <c r="E645" s="713" t="s">
        <v>2707</v>
      </c>
      <c r="G645" s="701">
        <v>7875</v>
      </c>
    </row>
    <row r="646" spans="1:7" outlineLevel="1" x14ac:dyDescent="0.2">
      <c r="A646" s="803"/>
      <c r="B646" s="712">
        <v>40862</v>
      </c>
      <c r="C646" t="s">
        <v>2712</v>
      </c>
      <c r="D646" t="s">
        <v>2713</v>
      </c>
      <c r="E646" s="713" t="s">
        <v>2714</v>
      </c>
      <c r="G646" s="701">
        <v>2100</v>
      </c>
    </row>
    <row r="647" spans="1:7" outlineLevel="1" x14ac:dyDescent="0.2">
      <c r="A647" s="803"/>
      <c r="B647" s="712">
        <v>40862</v>
      </c>
      <c r="C647"/>
      <c r="D647" s="713" t="s">
        <v>2709</v>
      </c>
      <c r="E647" s="713" t="s">
        <v>2709</v>
      </c>
      <c r="G647" s="701">
        <v>3100</v>
      </c>
    </row>
    <row r="648" spans="1:7" outlineLevel="1" x14ac:dyDescent="0.2">
      <c r="A648" s="803"/>
      <c r="B648" s="712">
        <v>40863</v>
      </c>
      <c r="D648" t="s">
        <v>2725</v>
      </c>
      <c r="E648" s="713" t="s">
        <v>2707</v>
      </c>
      <c r="G648" s="701">
        <v>650</v>
      </c>
    </row>
    <row r="649" spans="1:7" outlineLevel="1" x14ac:dyDescent="0.2">
      <c r="A649" s="803"/>
      <c r="B649" s="712">
        <v>40863</v>
      </c>
      <c r="D649" t="s">
        <v>3123</v>
      </c>
      <c r="E649" t="s">
        <v>2722</v>
      </c>
      <c r="G649" s="701">
        <v>2480</v>
      </c>
    </row>
    <row r="650" spans="1:7" outlineLevel="1" x14ac:dyDescent="0.2">
      <c r="A650" s="803"/>
      <c r="B650" s="712">
        <v>40863</v>
      </c>
      <c r="D650" t="s">
        <v>2763</v>
      </c>
      <c r="E650" s="713" t="s">
        <v>2707</v>
      </c>
      <c r="G650" s="701">
        <v>1900</v>
      </c>
    </row>
    <row r="651" spans="1:7" outlineLevel="1" x14ac:dyDescent="0.2">
      <c r="A651" s="803"/>
      <c r="B651" s="712">
        <v>40864</v>
      </c>
      <c r="C651" t="s">
        <v>2708</v>
      </c>
      <c r="D651" s="713" t="s">
        <v>2709</v>
      </c>
      <c r="E651" s="713" t="s">
        <v>2709</v>
      </c>
      <c r="G651" s="701">
        <v>370</v>
      </c>
    </row>
    <row r="652" spans="1:7" outlineLevel="1" x14ac:dyDescent="0.2">
      <c r="A652" s="803"/>
      <c r="B652" s="712">
        <v>40864</v>
      </c>
      <c r="C652"/>
      <c r="D652" t="s">
        <v>3122</v>
      </c>
      <c r="E652" s="713" t="s">
        <v>2707</v>
      </c>
      <c r="G652" s="701">
        <v>320</v>
      </c>
    </row>
    <row r="653" spans="1:7" outlineLevel="1" x14ac:dyDescent="0.2">
      <c r="A653" s="803"/>
      <c r="B653" s="712">
        <v>40865</v>
      </c>
      <c r="C653" t="s">
        <v>367</v>
      </c>
      <c r="D653"/>
      <c r="E653" s="713" t="s">
        <v>2707</v>
      </c>
      <c r="G653" s="701">
        <v>7000</v>
      </c>
    </row>
    <row r="654" spans="1:7" outlineLevel="1" x14ac:dyDescent="0.2">
      <c r="A654" s="803"/>
      <c r="B654" s="712">
        <v>40865</v>
      </c>
      <c r="C654"/>
      <c r="D654" t="s">
        <v>3124</v>
      </c>
      <c r="E654" s="713" t="s">
        <v>2722</v>
      </c>
      <c r="G654" s="701">
        <v>2800</v>
      </c>
    </row>
    <row r="655" spans="1:7" outlineLevel="1" x14ac:dyDescent="0.2">
      <c r="A655" s="803"/>
      <c r="B655" s="712">
        <v>40865</v>
      </c>
      <c r="C655" t="s">
        <v>2712</v>
      </c>
      <c r="D655" t="s">
        <v>2713</v>
      </c>
      <c r="E655" s="713" t="s">
        <v>2714</v>
      </c>
      <c r="G655" s="701">
        <v>2800</v>
      </c>
    </row>
    <row r="656" spans="1:7" outlineLevel="1" x14ac:dyDescent="0.2">
      <c r="A656" s="803"/>
      <c r="B656" s="712">
        <v>40865</v>
      </c>
      <c r="C656"/>
      <c r="D656" t="s">
        <v>2833</v>
      </c>
      <c r="E656" s="713" t="s">
        <v>1035</v>
      </c>
      <c r="G656" s="701">
        <v>2500</v>
      </c>
    </row>
    <row r="657" spans="1:7" outlineLevel="1" x14ac:dyDescent="0.2">
      <c r="A657" s="803"/>
      <c r="B657" s="712">
        <v>40866</v>
      </c>
      <c r="D657"/>
    </row>
    <row r="658" spans="1:7" outlineLevel="1" x14ac:dyDescent="0.2">
      <c r="A658" s="803"/>
      <c r="B658" s="712">
        <v>40867</v>
      </c>
      <c r="D658" t="s">
        <v>2725</v>
      </c>
      <c r="E658" s="713" t="s">
        <v>2707</v>
      </c>
      <c r="G658" s="701">
        <v>810</v>
      </c>
    </row>
    <row r="659" spans="1:7" outlineLevel="1" x14ac:dyDescent="0.2">
      <c r="A659" s="803"/>
      <c r="B659" s="712">
        <v>40868</v>
      </c>
      <c r="D659"/>
    </row>
    <row r="660" spans="1:7" outlineLevel="1" x14ac:dyDescent="0.2">
      <c r="A660" s="803"/>
      <c r="B660" s="712">
        <v>40869</v>
      </c>
      <c r="C660" t="s">
        <v>479</v>
      </c>
      <c r="D660"/>
      <c r="E660" t="s">
        <v>2719</v>
      </c>
      <c r="G660" s="701">
        <v>8726</v>
      </c>
    </row>
    <row r="661" spans="1:7" outlineLevel="1" x14ac:dyDescent="0.2">
      <c r="A661" s="803"/>
      <c r="B661" s="712">
        <v>40869</v>
      </c>
      <c r="D661" t="s">
        <v>3111</v>
      </c>
      <c r="E661" s="713" t="s">
        <v>1035</v>
      </c>
      <c r="G661" s="701">
        <v>7500</v>
      </c>
    </row>
    <row r="662" spans="1:7" outlineLevel="1" x14ac:dyDescent="0.2">
      <c r="A662" s="803"/>
      <c r="B662" s="712">
        <v>40869</v>
      </c>
      <c r="D662" t="s">
        <v>3016</v>
      </c>
      <c r="E662" s="713" t="s">
        <v>2722</v>
      </c>
      <c r="G662" s="701">
        <v>2700</v>
      </c>
    </row>
    <row r="663" spans="1:7" outlineLevel="1" x14ac:dyDescent="0.2">
      <c r="A663" s="803"/>
      <c r="B663" s="712">
        <v>40870</v>
      </c>
      <c r="C663" t="s">
        <v>367</v>
      </c>
      <c r="D663"/>
      <c r="E663" s="713" t="s">
        <v>2707</v>
      </c>
      <c r="G663" s="701">
        <v>7233</v>
      </c>
    </row>
    <row r="664" spans="1:7" outlineLevel="1" x14ac:dyDescent="0.2">
      <c r="A664" s="803"/>
      <c r="B664" s="712">
        <v>40870</v>
      </c>
      <c r="C664" t="s">
        <v>2712</v>
      </c>
      <c r="D664" t="s">
        <v>2713</v>
      </c>
      <c r="E664" s="713" t="s">
        <v>2714</v>
      </c>
      <c r="G664" s="701">
        <v>3280</v>
      </c>
    </row>
    <row r="665" spans="1:7" outlineLevel="1" x14ac:dyDescent="0.2">
      <c r="A665" s="803"/>
      <c r="B665" s="712">
        <v>40871</v>
      </c>
      <c r="C665" s="713" t="s">
        <v>2706</v>
      </c>
      <c r="D665" t="s">
        <v>2784</v>
      </c>
      <c r="E665" s="713" t="s">
        <v>2700</v>
      </c>
      <c r="G665" s="701">
        <v>10000</v>
      </c>
    </row>
    <row r="666" spans="1:7" outlineLevel="1" x14ac:dyDescent="0.2">
      <c r="A666" s="803"/>
      <c r="B666" s="712">
        <v>40871</v>
      </c>
      <c r="C666" t="s">
        <v>3125</v>
      </c>
      <c r="D666"/>
      <c r="E666" s="713" t="s">
        <v>2707</v>
      </c>
      <c r="G666" s="701">
        <v>2310</v>
      </c>
    </row>
    <row r="667" spans="1:7" outlineLevel="1" x14ac:dyDescent="0.2">
      <c r="A667" s="803"/>
      <c r="B667" s="712">
        <v>40871</v>
      </c>
      <c r="C667"/>
      <c r="D667" t="s">
        <v>3128</v>
      </c>
      <c r="E667" s="713" t="s">
        <v>1035</v>
      </c>
      <c r="G667" s="701">
        <v>6500</v>
      </c>
    </row>
    <row r="668" spans="1:7" outlineLevel="1" x14ac:dyDescent="0.2">
      <c r="A668" s="803"/>
      <c r="B668" s="712">
        <v>40871</v>
      </c>
      <c r="C668"/>
      <c r="D668" t="s">
        <v>2740</v>
      </c>
      <c r="E668" s="713" t="s">
        <v>1035</v>
      </c>
      <c r="G668" s="701">
        <v>900</v>
      </c>
    </row>
    <row r="669" spans="1:7" outlineLevel="1" x14ac:dyDescent="0.2">
      <c r="A669" s="803"/>
      <c r="B669" s="712">
        <v>40871</v>
      </c>
      <c r="C669"/>
      <c r="D669" t="s">
        <v>3129</v>
      </c>
      <c r="E669" s="713" t="s">
        <v>1035</v>
      </c>
      <c r="G669" s="701">
        <v>580</v>
      </c>
    </row>
    <row r="670" spans="1:7" outlineLevel="1" x14ac:dyDescent="0.2">
      <c r="A670" s="803"/>
      <c r="B670" s="712">
        <v>40871</v>
      </c>
      <c r="C670"/>
      <c r="D670" t="s">
        <v>3130</v>
      </c>
      <c r="E670" s="713" t="s">
        <v>2722</v>
      </c>
      <c r="G670" s="701">
        <v>3000</v>
      </c>
    </row>
    <row r="671" spans="1:7" outlineLevel="1" x14ac:dyDescent="0.2">
      <c r="A671" s="803"/>
      <c r="B671" s="712">
        <v>40871</v>
      </c>
      <c r="C671"/>
      <c r="D671" t="s">
        <v>3131</v>
      </c>
      <c r="E671" s="713" t="s">
        <v>2722</v>
      </c>
      <c r="G671" s="701">
        <v>1200</v>
      </c>
    </row>
    <row r="672" spans="1:7" outlineLevel="1" x14ac:dyDescent="0.2">
      <c r="A672" s="803"/>
      <c r="B672" s="712">
        <v>40871</v>
      </c>
      <c r="C672"/>
      <c r="D672" t="s">
        <v>3132</v>
      </c>
      <c r="E672" s="713" t="s">
        <v>1035</v>
      </c>
      <c r="G672" s="701">
        <v>5000</v>
      </c>
    </row>
    <row r="673" spans="1:7" outlineLevel="1" x14ac:dyDescent="0.2">
      <c r="A673" s="803"/>
      <c r="B673" s="712">
        <v>40871</v>
      </c>
      <c r="C673"/>
      <c r="D673" t="s">
        <v>3120</v>
      </c>
      <c r="E673" s="713" t="s">
        <v>1035</v>
      </c>
      <c r="G673" s="701">
        <v>690</v>
      </c>
    </row>
    <row r="674" spans="1:7" outlineLevel="1" x14ac:dyDescent="0.2">
      <c r="A674" s="803"/>
      <c r="B674" s="712">
        <v>40871</v>
      </c>
      <c r="C674"/>
      <c r="D674" t="s">
        <v>3120</v>
      </c>
      <c r="E674" s="713" t="s">
        <v>1035</v>
      </c>
      <c r="G674" s="701">
        <v>1200</v>
      </c>
    </row>
    <row r="675" spans="1:7" outlineLevel="1" x14ac:dyDescent="0.2">
      <c r="A675" s="803"/>
      <c r="B675" s="712">
        <v>40871</v>
      </c>
      <c r="C675"/>
      <c r="D675" t="s">
        <v>3120</v>
      </c>
      <c r="E675" s="713" t="s">
        <v>1035</v>
      </c>
      <c r="G675" s="701">
        <v>1700</v>
      </c>
    </row>
    <row r="676" spans="1:7" outlineLevel="1" x14ac:dyDescent="0.2">
      <c r="A676" s="803"/>
      <c r="B676" s="712">
        <v>40871</v>
      </c>
      <c r="C676"/>
      <c r="D676"/>
    </row>
    <row r="677" spans="1:7" outlineLevel="1" x14ac:dyDescent="0.2">
      <c r="A677" s="803"/>
      <c r="B677" s="712">
        <v>40872</v>
      </c>
      <c r="C677" t="s">
        <v>1815</v>
      </c>
      <c r="D677" t="s">
        <v>3127</v>
      </c>
      <c r="E677" s="713" t="s">
        <v>2750</v>
      </c>
      <c r="G677" s="701">
        <v>2150</v>
      </c>
    </row>
    <row r="678" spans="1:7" outlineLevel="1" x14ac:dyDescent="0.2">
      <c r="A678" s="803"/>
      <c r="B678" s="712">
        <v>40873</v>
      </c>
      <c r="C678" t="s">
        <v>367</v>
      </c>
      <c r="D678"/>
      <c r="E678" s="713" t="s">
        <v>2707</v>
      </c>
      <c r="G678" s="701">
        <v>10139</v>
      </c>
    </row>
    <row r="679" spans="1:7" outlineLevel="1" x14ac:dyDescent="0.2">
      <c r="A679" s="803"/>
      <c r="B679" s="712">
        <v>40874</v>
      </c>
      <c r="C679" t="s">
        <v>2712</v>
      </c>
      <c r="D679" t="s">
        <v>2713</v>
      </c>
      <c r="E679" s="713" t="s">
        <v>2714</v>
      </c>
      <c r="G679" s="701">
        <v>1500</v>
      </c>
    </row>
    <row r="680" spans="1:7" outlineLevel="1" x14ac:dyDescent="0.2">
      <c r="A680" s="803"/>
      <c r="B680" s="712">
        <v>40875</v>
      </c>
      <c r="C680" t="s">
        <v>367</v>
      </c>
      <c r="D680"/>
      <c r="E680" s="713" t="s">
        <v>2707</v>
      </c>
      <c r="G680" s="701">
        <v>2570</v>
      </c>
    </row>
    <row r="681" spans="1:7" outlineLevel="1" x14ac:dyDescent="0.2">
      <c r="A681" s="803"/>
      <c r="B681" s="712">
        <v>40876</v>
      </c>
      <c r="D681" t="s">
        <v>2729</v>
      </c>
      <c r="E681" s="713" t="s">
        <v>1035</v>
      </c>
      <c r="G681" s="701">
        <v>1500</v>
      </c>
    </row>
    <row r="682" spans="1:7" outlineLevel="1" x14ac:dyDescent="0.2">
      <c r="A682" s="803"/>
      <c r="B682" s="712">
        <v>40876</v>
      </c>
      <c r="D682" t="s">
        <v>3133</v>
      </c>
      <c r="E682" s="713" t="s">
        <v>1035</v>
      </c>
      <c r="G682" s="701">
        <v>2000</v>
      </c>
    </row>
    <row r="683" spans="1:7" outlineLevel="1" x14ac:dyDescent="0.2">
      <c r="A683" s="803"/>
      <c r="B683" s="712">
        <v>40877</v>
      </c>
      <c r="C683" s="713" t="s">
        <v>3036</v>
      </c>
      <c r="D683"/>
      <c r="E683" s="713" t="s">
        <v>2707</v>
      </c>
      <c r="G683" s="701">
        <v>1855</v>
      </c>
    </row>
    <row r="684" spans="1:7" outlineLevel="1" x14ac:dyDescent="0.2">
      <c r="A684" s="803"/>
      <c r="B684" s="712">
        <v>40877</v>
      </c>
      <c r="C684" s="713" t="s">
        <v>3036</v>
      </c>
      <c r="D684" t="s">
        <v>3134</v>
      </c>
      <c r="E684" s="713" t="s">
        <v>3078</v>
      </c>
      <c r="G684" s="701">
        <v>4745</v>
      </c>
    </row>
    <row r="685" spans="1:7" outlineLevel="1" x14ac:dyDescent="0.2">
      <c r="A685" s="803"/>
      <c r="B685" s="712">
        <v>40877</v>
      </c>
      <c r="C685" s="713" t="s">
        <v>3135</v>
      </c>
      <c r="D685" t="s">
        <v>2843</v>
      </c>
      <c r="E685" s="713" t="s">
        <v>3078</v>
      </c>
      <c r="G685" s="701">
        <v>840</v>
      </c>
    </row>
    <row r="686" spans="1:7" outlineLevel="1" x14ac:dyDescent="0.2">
      <c r="A686" s="803"/>
      <c r="B686" s="712">
        <v>40877</v>
      </c>
      <c r="C686" s="713" t="s">
        <v>2830</v>
      </c>
      <c r="D686"/>
      <c r="E686" s="713" t="s">
        <v>2707</v>
      </c>
      <c r="G686" s="701">
        <v>3248</v>
      </c>
    </row>
    <row r="687" spans="1:7" outlineLevel="1" x14ac:dyDescent="0.2">
      <c r="A687" s="803"/>
      <c r="B687" s="712">
        <v>40877</v>
      </c>
      <c r="D687" t="s">
        <v>3136</v>
      </c>
      <c r="E687" s="713" t="s">
        <v>1035</v>
      </c>
      <c r="G687" s="701">
        <v>670</v>
      </c>
    </row>
    <row r="688" spans="1:7" outlineLevel="1" x14ac:dyDescent="0.2">
      <c r="A688" s="803"/>
      <c r="B688" s="712">
        <v>40878</v>
      </c>
      <c r="D688" t="s">
        <v>3140</v>
      </c>
      <c r="E688" s="713" t="s">
        <v>1035</v>
      </c>
      <c r="G688" s="701">
        <v>2000</v>
      </c>
    </row>
    <row r="689" spans="1:7" outlineLevel="1" x14ac:dyDescent="0.2">
      <c r="A689" s="803"/>
      <c r="B689" s="712">
        <v>40879</v>
      </c>
      <c r="C689" t="s">
        <v>2712</v>
      </c>
      <c r="D689" t="s">
        <v>2713</v>
      </c>
      <c r="E689" s="713" t="s">
        <v>2714</v>
      </c>
      <c r="G689" s="701">
        <v>1155</v>
      </c>
    </row>
    <row r="690" spans="1:7" outlineLevel="1" x14ac:dyDescent="0.2">
      <c r="A690" s="803"/>
      <c r="B690" s="712">
        <v>40879</v>
      </c>
      <c r="C690" t="s">
        <v>2758</v>
      </c>
      <c r="D690" t="s">
        <v>2759</v>
      </c>
      <c r="E690" s="713" t="s">
        <v>2707</v>
      </c>
      <c r="G690" s="701">
        <v>3710</v>
      </c>
    </row>
    <row r="691" spans="1:7" outlineLevel="1" x14ac:dyDescent="0.2">
      <c r="A691" s="803"/>
      <c r="B691" s="712">
        <v>40879</v>
      </c>
      <c r="C691" s="713" t="s">
        <v>2706</v>
      </c>
      <c r="D691" t="s">
        <v>2784</v>
      </c>
      <c r="E691" s="713" t="s">
        <v>2700</v>
      </c>
      <c r="G691" s="701">
        <v>5000</v>
      </c>
    </row>
    <row r="692" spans="1:7" outlineLevel="1" x14ac:dyDescent="0.2">
      <c r="A692" s="803"/>
      <c r="B692" s="712">
        <v>40879</v>
      </c>
      <c r="C692"/>
      <c r="D692" t="s">
        <v>3147</v>
      </c>
      <c r="E692" s="713" t="s">
        <v>1035</v>
      </c>
      <c r="G692" s="701">
        <v>750</v>
      </c>
    </row>
    <row r="693" spans="1:7" outlineLevel="1" x14ac:dyDescent="0.2">
      <c r="A693" s="803"/>
      <c r="B693" s="712">
        <v>40879</v>
      </c>
      <c r="C693"/>
      <c r="D693" t="s">
        <v>3154</v>
      </c>
      <c r="E693" s="713" t="s">
        <v>1035</v>
      </c>
      <c r="G693" s="701">
        <v>650</v>
      </c>
    </row>
    <row r="694" spans="1:7" outlineLevel="1" x14ac:dyDescent="0.2">
      <c r="A694" s="803"/>
      <c r="B694" s="712">
        <v>40880</v>
      </c>
      <c r="C694" t="s">
        <v>2712</v>
      </c>
      <c r="D694" t="s">
        <v>2713</v>
      </c>
      <c r="E694" s="713" t="s">
        <v>2714</v>
      </c>
      <c r="G694" s="701">
        <v>1355</v>
      </c>
    </row>
    <row r="695" spans="1:7" outlineLevel="1" x14ac:dyDescent="0.2">
      <c r="A695" s="803"/>
      <c r="B695" s="712">
        <v>40880</v>
      </c>
      <c r="C695" t="s">
        <v>2998</v>
      </c>
      <c r="D695"/>
      <c r="E695" s="713" t="s">
        <v>2707</v>
      </c>
      <c r="G695" s="701">
        <v>5315</v>
      </c>
    </row>
    <row r="696" spans="1:7" outlineLevel="1" x14ac:dyDescent="0.2">
      <c r="A696" s="803"/>
      <c r="B696" s="712">
        <v>40880</v>
      </c>
      <c r="C696"/>
      <c r="D696" t="s">
        <v>3145</v>
      </c>
      <c r="E696" t="s">
        <v>1035</v>
      </c>
      <c r="G696" s="701">
        <v>1428</v>
      </c>
    </row>
    <row r="697" spans="1:7" outlineLevel="1" x14ac:dyDescent="0.2">
      <c r="A697" s="803"/>
      <c r="B697" s="712">
        <v>40880</v>
      </c>
      <c r="C697"/>
      <c r="D697" t="s">
        <v>3146</v>
      </c>
      <c r="E697" t="s">
        <v>1035</v>
      </c>
      <c r="G697" s="701">
        <v>1290</v>
      </c>
    </row>
    <row r="698" spans="1:7" outlineLevel="1" x14ac:dyDescent="0.2">
      <c r="A698" s="803"/>
      <c r="B698" s="712">
        <v>40880</v>
      </c>
      <c r="C698" t="s">
        <v>479</v>
      </c>
      <c r="D698"/>
      <c r="E698" t="s">
        <v>2719</v>
      </c>
      <c r="G698" s="701">
        <v>5532</v>
      </c>
    </row>
    <row r="699" spans="1:7" outlineLevel="1" x14ac:dyDescent="0.2">
      <c r="A699" s="803"/>
      <c r="B699" s="712">
        <v>40880</v>
      </c>
      <c r="C699"/>
      <c r="D699"/>
      <c r="E699"/>
    </row>
    <row r="700" spans="1:7" outlineLevel="1" x14ac:dyDescent="0.2">
      <c r="A700" s="803"/>
      <c r="B700" s="712">
        <v>40880</v>
      </c>
      <c r="C700"/>
      <c r="D700"/>
      <c r="E700"/>
    </row>
    <row r="701" spans="1:7" outlineLevel="1" x14ac:dyDescent="0.2">
      <c r="A701" s="803"/>
      <c r="B701" s="712">
        <v>40880</v>
      </c>
      <c r="C701"/>
      <c r="D701"/>
      <c r="E701"/>
    </row>
    <row r="702" spans="1:7" outlineLevel="1" x14ac:dyDescent="0.2">
      <c r="A702" s="803"/>
      <c r="B702" s="712">
        <v>40881</v>
      </c>
      <c r="D702"/>
    </row>
    <row r="703" spans="1:7" outlineLevel="1" x14ac:dyDescent="0.2">
      <c r="A703" s="803"/>
      <c r="B703" s="712">
        <v>40882</v>
      </c>
      <c r="C703" t="s">
        <v>367</v>
      </c>
      <c r="D703"/>
      <c r="E703" t="s">
        <v>2707</v>
      </c>
      <c r="G703" s="701">
        <v>9645</v>
      </c>
    </row>
    <row r="704" spans="1:7" outlineLevel="1" x14ac:dyDescent="0.2">
      <c r="A704" s="803"/>
      <c r="B704" s="712">
        <v>40882</v>
      </c>
      <c r="C704"/>
      <c r="D704" t="s">
        <v>3145</v>
      </c>
      <c r="E704" t="s">
        <v>1035</v>
      </c>
      <c r="G704" s="701">
        <v>2670</v>
      </c>
    </row>
    <row r="705" spans="1:7" outlineLevel="1" x14ac:dyDescent="0.2">
      <c r="A705" s="803"/>
      <c r="B705" s="712">
        <v>40882</v>
      </c>
      <c r="C705"/>
      <c r="D705" t="s">
        <v>2932</v>
      </c>
      <c r="E705" t="s">
        <v>2707</v>
      </c>
      <c r="G705" s="701">
        <v>1360</v>
      </c>
    </row>
    <row r="706" spans="1:7" outlineLevel="1" x14ac:dyDescent="0.2">
      <c r="A706" s="803"/>
      <c r="B706" s="712">
        <v>40882</v>
      </c>
      <c r="C706" t="s">
        <v>2712</v>
      </c>
      <c r="D706" t="s">
        <v>2713</v>
      </c>
      <c r="E706" s="713" t="s">
        <v>2714</v>
      </c>
      <c r="G706" s="701">
        <v>870</v>
      </c>
    </row>
    <row r="707" spans="1:7" outlineLevel="1" x14ac:dyDescent="0.2">
      <c r="A707" s="803"/>
      <c r="B707" s="712">
        <v>40882</v>
      </c>
      <c r="C707"/>
      <c r="D707" t="s">
        <v>3150</v>
      </c>
      <c r="E707" s="713" t="s">
        <v>2707</v>
      </c>
      <c r="G707" s="701">
        <v>3650</v>
      </c>
    </row>
    <row r="708" spans="1:7" outlineLevel="1" x14ac:dyDescent="0.2">
      <c r="A708" s="803"/>
      <c r="B708" s="712">
        <v>40882</v>
      </c>
      <c r="C708"/>
      <c r="D708" t="s">
        <v>3155</v>
      </c>
      <c r="E708" s="713" t="s">
        <v>1035</v>
      </c>
      <c r="G708" s="701">
        <v>500</v>
      </c>
    </row>
    <row r="709" spans="1:7" outlineLevel="1" x14ac:dyDescent="0.2">
      <c r="A709" s="803"/>
      <c r="B709" s="712">
        <v>40883</v>
      </c>
      <c r="D709" t="s">
        <v>3145</v>
      </c>
      <c r="E709" s="713" t="s">
        <v>1035</v>
      </c>
      <c r="G709" s="701">
        <v>2000</v>
      </c>
    </row>
    <row r="710" spans="1:7" outlineLevel="1" x14ac:dyDescent="0.2">
      <c r="A710" s="803"/>
      <c r="B710" s="712">
        <v>40883</v>
      </c>
      <c r="D710" t="s">
        <v>3153</v>
      </c>
      <c r="E710" s="713" t="s">
        <v>1035</v>
      </c>
      <c r="G710" s="701">
        <v>180</v>
      </c>
    </row>
    <row r="711" spans="1:7" outlineLevel="1" x14ac:dyDescent="0.2">
      <c r="A711" s="803"/>
      <c r="B711" s="712">
        <v>40884</v>
      </c>
      <c r="C711" t="s">
        <v>2758</v>
      </c>
      <c r="D711" t="s">
        <v>2759</v>
      </c>
      <c r="E711" s="713" t="s">
        <v>2707</v>
      </c>
      <c r="G711" s="701">
        <v>2100</v>
      </c>
    </row>
    <row r="712" spans="1:7" outlineLevel="1" x14ac:dyDescent="0.2">
      <c r="A712" s="803"/>
      <c r="B712" s="712">
        <v>40884</v>
      </c>
      <c r="C712"/>
      <c r="D712" t="s">
        <v>3156</v>
      </c>
      <c r="E712" s="713" t="s">
        <v>2750</v>
      </c>
      <c r="G712" s="701">
        <v>39000</v>
      </c>
    </row>
    <row r="713" spans="1:7" outlineLevel="1" x14ac:dyDescent="0.2">
      <c r="A713" s="803"/>
      <c r="B713" s="712">
        <v>40885</v>
      </c>
      <c r="D713" t="s">
        <v>3151</v>
      </c>
      <c r="E713" t="s">
        <v>1035</v>
      </c>
      <c r="G713" s="701">
        <v>250</v>
      </c>
    </row>
    <row r="714" spans="1:7" outlineLevel="1" x14ac:dyDescent="0.2">
      <c r="A714" s="803"/>
      <c r="B714" s="712">
        <v>40885</v>
      </c>
      <c r="D714" t="s">
        <v>3152</v>
      </c>
      <c r="E714" t="s">
        <v>2750</v>
      </c>
      <c r="G714" s="701">
        <v>520</v>
      </c>
    </row>
    <row r="715" spans="1:7" outlineLevel="1" x14ac:dyDescent="0.2">
      <c r="A715" s="803"/>
      <c r="B715" s="712">
        <v>40885</v>
      </c>
      <c r="C715" t="s">
        <v>2712</v>
      </c>
      <c r="D715" t="s">
        <v>2713</v>
      </c>
      <c r="E715" s="713" t="s">
        <v>2714</v>
      </c>
      <c r="G715" s="701">
        <v>855</v>
      </c>
    </row>
    <row r="716" spans="1:7" outlineLevel="1" x14ac:dyDescent="0.2">
      <c r="A716" s="803"/>
      <c r="B716" s="712">
        <v>40886</v>
      </c>
      <c r="C716" t="s">
        <v>367</v>
      </c>
      <c r="D716"/>
      <c r="E716" t="s">
        <v>2707</v>
      </c>
      <c r="G716" s="701">
        <v>10570</v>
      </c>
    </row>
    <row r="717" spans="1:7" outlineLevel="1" x14ac:dyDescent="0.2">
      <c r="A717" s="803"/>
      <c r="B717" s="712">
        <v>40886</v>
      </c>
      <c r="C717" t="s">
        <v>2712</v>
      </c>
      <c r="D717" t="s">
        <v>2713</v>
      </c>
      <c r="E717" s="713" t="s">
        <v>2714</v>
      </c>
      <c r="G717" s="701">
        <v>3000</v>
      </c>
    </row>
    <row r="718" spans="1:7" outlineLevel="1" x14ac:dyDescent="0.2">
      <c r="A718" s="803"/>
      <c r="B718" s="712">
        <v>40887</v>
      </c>
      <c r="D718" t="s">
        <v>3158</v>
      </c>
      <c r="E718" s="713" t="s">
        <v>1035</v>
      </c>
      <c r="G718" s="701">
        <v>1540</v>
      </c>
    </row>
    <row r="719" spans="1:7" outlineLevel="1" x14ac:dyDescent="0.2">
      <c r="A719" s="803"/>
      <c r="B719" s="712">
        <v>40887</v>
      </c>
      <c r="D719" t="s">
        <v>3157</v>
      </c>
      <c r="E719" s="713" t="s">
        <v>1035</v>
      </c>
      <c r="G719" s="701">
        <v>1500</v>
      </c>
    </row>
    <row r="720" spans="1:7" outlineLevel="1" x14ac:dyDescent="0.2">
      <c r="A720" s="803"/>
      <c r="B720" s="712">
        <v>40887</v>
      </c>
      <c r="D720" t="s">
        <v>3159</v>
      </c>
      <c r="E720" s="713" t="s">
        <v>1035</v>
      </c>
      <c r="G720" s="701">
        <v>1300</v>
      </c>
    </row>
    <row r="721" spans="1:7" outlineLevel="1" x14ac:dyDescent="0.2">
      <c r="A721" s="803"/>
      <c r="B721" s="712">
        <v>40887</v>
      </c>
      <c r="D721" t="s">
        <v>3112</v>
      </c>
      <c r="E721" s="713" t="s">
        <v>2722</v>
      </c>
      <c r="G721" s="701">
        <v>1700</v>
      </c>
    </row>
    <row r="722" spans="1:7" outlineLevel="1" x14ac:dyDescent="0.2">
      <c r="A722" s="803"/>
      <c r="B722" s="712">
        <v>40888</v>
      </c>
      <c r="D722"/>
    </row>
    <row r="723" spans="1:7" outlineLevel="1" x14ac:dyDescent="0.2">
      <c r="A723" s="803"/>
      <c r="B723" s="712">
        <v>40889</v>
      </c>
      <c r="D723" s="966" t="s">
        <v>3160</v>
      </c>
      <c r="E723" s="713" t="s">
        <v>1035</v>
      </c>
      <c r="G723" s="701">
        <v>1070</v>
      </c>
    </row>
    <row r="724" spans="1:7" outlineLevel="1" x14ac:dyDescent="0.2">
      <c r="A724" s="803"/>
      <c r="B724" s="712">
        <v>40889</v>
      </c>
      <c r="D724" s="966" t="s">
        <v>2763</v>
      </c>
      <c r="E724" t="s">
        <v>2707</v>
      </c>
      <c r="G724" s="701">
        <v>1900</v>
      </c>
    </row>
    <row r="725" spans="1:7" outlineLevel="1" x14ac:dyDescent="0.2">
      <c r="A725" s="803"/>
      <c r="B725" s="712">
        <v>40889</v>
      </c>
      <c r="C725" t="s">
        <v>2830</v>
      </c>
      <c r="D725" s="966" t="s">
        <v>2707</v>
      </c>
      <c r="E725" t="s">
        <v>2707</v>
      </c>
      <c r="G725" s="701">
        <v>2020</v>
      </c>
    </row>
    <row r="726" spans="1:7" outlineLevel="1" x14ac:dyDescent="0.2">
      <c r="A726" s="803"/>
      <c r="B726" s="712">
        <v>40889</v>
      </c>
      <c r="C726" t="s">
        <v>2708</v>
      </c>
      <c r="D726" s="713" t="s">
        <v>2709</v>
      </c>
      <c r="E726" s="713" t="s">
        <v>2709</v>
      </c>
      <c r="G726" s="701">
        <v>3200</v>
      </c>
    </row>
    <row r="727" spans="1:7" outlineLevel="1" x14ac:dyDescent="0.2">
      <c r="A727" s="803"/>
      <c r="B727" s="712">
        <v>40890</v>
      </c>
      <c r="C727" t="s">
        <v>2708</v>
      </c>
      <c r="D727" s="713" t="s">
        <v>2709</v>
      </c>
      <c r="E727" s="713" t="s">
        <v>2709</v>
      </c>
      <c r="G727" s="701">
        <v>700</v>
      </c>
    </row>
    <row r="728" spans="1:7" outlineLevel="1" x14ac:dyDescent="0.2">
      <c r="A728" s="803"/>
      <c r="B728" s="712">
        <v>40890</v>
      </c>
      <c r="C728" t="s">
        <v>2708</v>
      </c>
      <c r="D728" s="713" t="s">
        <v>2709</v>
      </c>
      <c r="E728" s="713" t="s">
        <v>2709</v>
      </c>
      <c r="G728" s="701">
        <v>2082</v>
      </c>
    </row>
    <row r="729" spans="1:7" outlineLevel="1" x14ac:dyDescent="0.2">
      <c r="A729" s="803"/>
      <c r="B729" s="712">
        <v>40890</v>
      </c>
      <c r="C729" t="s">
        <v>2712</v>
      </c>
      <c r="D729" t="s">
        <v>2713</v>
      </c>
      <c r="E729" s="713" t="s">
        <v>2714</v>
      </c>
      <c r="G729" s="701">
        <v>1880</v>
      </c>
    </row>
    <row r="730" spans="1:7" outlineLevel="1" x14ac:dyDescent="0.2">
      <c r="A730" s="803"/>
      <c r="B730" s="712">
        <v>40890</v>
      </c>
      <c r="C730"/>
      <c r="D730" t="s">
        <v>3161</v>
      </c>
      <c r="E730" t="s">
        <v>2719</v>
      </c>
      <c r="G730" s="701">
        <v>395</v>
      </c>
    </row>
    <row r="731" spans="1:7" outlineLevel="1" x14ac:dyDescent="0.2">
      <c r="A731" s="803"/>
      <c r="B731" s="712">
        <v>40890</v>
      </c>
      <c r="C731" t="s">
        <v>2758</v>
      </c>
      <c r="D731" t="s">
        <v>2759</v>
      </c>
      <c r="E731" s="713" t="s">
        <v>2707</v>
      </c>
      <c r="G731" s="701">
        <v>1160</v>
      </c>
    </row>
    <row r="732" spans="1:7" outlineLevel="1" x14ac:dyDescent="0.2">
      <c r="A732" s="803"/>
      <c r="B732" s="712">
        <v>40890</v>
      </c>
      <c r="C732"/>
      <c r="D732" t="s">
        <v>3162</v>
      </c>
      <c r="E732" t="s">
        <v>2707</v>
      </c>
      <c r="G732" s="701">
        <v>1600</v>
      </c>
    </row>
    <row r="733" spans="1:7" outlineLevel="1" x14ac:dyDescent="0.2">
      <c r="A733" s="803"/>
      <c r="B733" s="712">
        <v>40890</v>
      </c>
      <c r="C733"/>
      <c r="D733" t="s">
        <v>2790</v>
      </c>
      <c r="E733" t="s">
        <v>1035</v>
      </c>
      <c r="G733" s="701">
        <v>6500</v>
      </c>
    </row>
    <row r="734" spans="1:7" outlineLevel="1" x14ac:dyDescent="0.2">
      <c r="A734" s="803"/>
      <c r="B734" s="712">
        <v>40891</v>
      </c>
      <c r="C734" s="713" t="s">
        <v>2706</v>
      </c>
      <c r="D734" t="s">
        <v>2784</v>
      </c>
      <c r="E734" s="713" t="s">
        <v>2700</v>
      </c>
      <c r="G734" s="701">
        <v>10000</v>
      </c>
    </row>
    <row r="735" spans="1:7" outlineLevel="1" x14ac:dyDescent="0.2">
      <c r="A735" s="803"/>
      <c r="B735" s="712">
        <v>40891</v>
      </c>
      <c r="D735" t="s">
        <v>3172</v>
      </c>
      <c r="E735" s="713" t="s">
        <v>2722</v>
      </c>
      <c r="G735" s="701">
        <v>20000</v>
      </c>
    </row>
    <row r="736" spans="1:7" outlineLevel="1" x14ac:dyDescent="0.2">
      <c r="A736" s="803"/>
      <c r="B736" s="712">
        <v>40891</v>
      </c>
      <c r="D736" t="s">
        <v>3175</v>
      </c>
      <c r="E736" s="713" t="s">
        <v>1035</v>
      </c>
      <c r="G736" s="701">
        <v>13500</v>
      </c>
    </row>
    <row r="737" spans="1:7" outlineLevel="1" x14ac:dyDescent="0.2">
      <c r="A737" s="803"/>
      <c r="B737" s="712">
        <v>40891</v>
      </c>
      <c r="D737" t="s">
        <v>3173</v>
      </c>
      <c r="E737" s="713" t="s">
        <v>1035</v>
      </c>
      <c r="G737" s="701">
        <v>890</v>
      </c>
    </row>
    <row r="738" spans="1:7" outlineLevel="1" x14ac:dyDescent="0.2">
      <c r="A738" s="803"/>
      <c r="B738" s="712">
        <v>40892</v>
      </c>
      <c r="C738"/>
      <c r="D738" t="s">
        <v>3163</v>
      </c>
      <c r="E738" t="s">
        <v>1035</v>
      </c>
      <c r="G738" s="701">
        <v>2700</v>
      </c>
    </row>
    <row r="739" spans="1:7" outlineLevel="1" x14ac:dyDescent="0.2">
      <c r="A739" s="803"/>
      <c r="B739" s="712">
        <v>40892</v>
      </c>
      <c r="D739" t="s">
        <v>3164</v>
      </c>
      <c r="E739" t="s">
        <v>2750</v>
      </c>
      <c r="G739" s="701">
        <v>420</v>
      </c>
    </row>
    <row r="740" spans="1:7" outlineLevel="1" x14ac:dyDescent="0.2">
      <c r="A740" s="803"/>
      <c r="B740" s="712">
        <v>40892</v>
      </c>
      <c r="D740" t="s">
        <v>3165</v>
      </c>
      <c r="E740" t="s">
        <v>2750</v>
      </c>
      <c r="G740" s="701">
        <v>800</v>
      </c>
    </row>
    <row r="741" spans="1:7" outlineLevel="1" x14ac:dyDescent="0.2">
      <c r="A741" s="803"/>
      <c r="B741" s="712">
        <v>40892</v>
      </c>
      <c r="D741" t="s">
        <v>2833</v>
      </c>
      <c r="E741" t="s">
        <v>1035</v>
      </c>
      <c r="G741" s="701">
        <v>1300</v>
      </c>
    </row>
    <row r="742" spans="1:7" outlineLevel="1" x14ac:dyDescent="0.2">
      <c r="A742" s="803"/>
      <c r="B742" s="712">
        <v>40893</v>
      </c>
      <c r="D742" t="s">
        <v>3174</v>
      </c>
      <c r="E742" t="s">
        <v>1035</v>
      </c>
      <c r="G742" s="701">
        <v>365</v>
      </c>
    </row>
    <row r="743" spans="1:7" outlineLevel="1" x14ac:dyDescent="0.2">
      <c r="A743" s="803"/>
      <c r="B743" s="712">
        <v>40894</v>
      </c>
      <c r="C743" t="s">
        <v>367</v>
      </c>
      <c r="D743"/>
      <c r="E743" t="s">
        <v>2707</v>
      </c>
      <c r="G743" s="701">
        <v>7620</v>
      </c>
    </row>
    <row r="744" spans="1:7" outlineLevel="1" x14ac:dyDescent="0.2">
      <c r="A744" s="803"/>
      <c r="B744" s="712">
        <v>40894</v>
      </c>
      <c r="C744" t="s">
        <v>3166</v>
      </c>
      <c r="D744" t="s">
        <v>3167</v>
      </c>
      <c r="E744" t="s">
        <v>1035</v>
      </c>
      <c r="G744" s="701">
        <v>4000</v>
      </c>
    </row>
    <row r="745" spans="1:7" outlineLevel="1" x14ac:dyDescent="0.2">
      <c r="A745" s="803"/>
      <c r="B745" s="712">
        <v>40895</v>
      </c>
      <c r="D745" t="s">
        <v>3169</v>
      </c>
      <c r="E745" t="s">
        <v>1035</v>
      </c>
      <c r="G745" s="701">
        <v>1300</v>
      </c>
    </row>
    <row r="746" spans="1:7" outlineLevel="1" x14ac:dyDescent="0.2">
      <c r="A746" s="803"/>
      <c r="B746" s="712">
        <v>40895</v>
      </c>
      <c r="D746" t="s">
        <v>3170</v>
      </c>
      <c r="E746" t="s">
        <v>1035</v>
      </c>
      <c r="G746" s="701">
        <v>310</v>
      </c>
    </row>
    <row r="747" spans="1:7" outlineLevel="1" x14ac:dyDescent="0.2">
      <c r="A747" s="803"/>
      <c r="B747" s="712">
        <v>40895</v>
      </c>
      <c r="D747" t="s">
        <v>3171</v>
      </c>
      <c r="E747" t="s">
        <v>1035</v>
      </c>
      <c r="G747" s="701">
        <v>1900</v>
      </c>
    </row>
    <row r="748" spans="1:7" outlineLevel="1" x14ac:dyDescent="0.2">
      <c r="A748" s="803"/>
      <c r="B748" s="712">
        <v>40896</v>
      </c>
      <c r="D748" t="s">
        <v>3165</v>
      </c>
      <c r="E748" t="s">
        <v>2750</v>
      </c>
      <c r="G748" s="701">
        <v>1600</v>
      </c>
    </row>
    <row r="749" spans="1:7" outlineLevel="1" x14ac:dyDescent="0.2">
      <c r="A749" s="803"/>
      <c r="B749" s="712">
        <v>40896</v>
      </c>
      <c r="D749" t="s">
        <v>2724</v>
      </c>
      <c r="E749" t="s">
        <v>2724</v>
      </c>
      <c r="G749" s="701">
        <v>610</v>
      </c>
    </row>
    <row r="750" spans="1:7" outlineLevel="1" x14ac:dyDescent="0.2">
      <c r="A750" s="803"/>
      <c r="B750" s="712">
        <v>40896</v>
      </c>
      <c r="D750" t="s">
        <v>3183</v>
      </c>
      <c r="E750" t="s">
        <v>1035</v>
      </c>
      <c r="G750" s="701">
        <v>7500</v>
      </c>
    </row>
    <row r="751" spans="1:7" outlineLevel="1" x14ac:dyDescent="0.2">
      <c r="A751" s="803"/>
      <c r="B751" s="712">
        <v>40896</v>
      </c>
      <c r="D751" t="s">
        <v>3184</v>
      </c>
      <c r="E751" t="s">
        <v>1035</v>
      </c>
      <c r="G751" s="701">
        <v>2200</v>
      </c>
    </row>
    <row r="752" spans="1:7" outlineLevel="1" x14ac:dyDescent="0.2">
      <c r="A752" s="803"/>
      <c r="B752" s="712">
        <v>40896</v>
      </c>
      <c r="D752"/>
      <c r="E752" s="713" t="s">
        <v>2707</v>
      </c>
      <c r="G752" s="701">
        <v>1900</v>
      </c>
    </row>
    <row r="753" spans="1:9" outlineLevel="1" x14ac:dyDescent="0.2">
      <c r="A753" s="803"/>
      <c r="B753" s="712">
        <v>40896</v>
      </c>
      <c r="D753" t="s">
        <v>3185</v>
      </c>
      <c r="E753" s="713" t="s">
        <v>1035</v>
      </c>
      <c r="G753" s="701">
        <v>350</v>
      </c>
    </row>
    <row r="754" spans="1:9" outlineLevel="1" x14ac:dyDescent="0.2">
      <c r="A754" s="803"/>
      <c r="B754" s="712">
        <v>40897</v>
      </c>
      <c r="C754" t="s">
        <v>2758</v>
      </c>
      <c r="D754" t="s">
        <v>2759</v>
      </c>
      <c r="E754" s="713" t="s">
        <v>2707</v>
      </c>
      <c r="G754" s="701">
        <v>5040</v>
      </c>
    </row>
    <row r="755" spans="1:9" outlineLevel="1" x14ac:dyDescent="0.2">
      <c r="A755" s="803"/>
      <c r="B755" s="712">
        <v>40897</v>
      </c>
      <c r="C755"/>
      <c r="D755" t="s">
        <v>3180</v>
      </c>
      <c r="E755" s="713" t="s">
        <v>1035</v>
      </c>
      <c r="G755" s="701">
        <v>1800</v>
      </c>
    </row>
    <row r="756" spans="1:9" outlineLevel="1" x14ac:dyDescent="0.2">
      <c r="A756" s="803"/>
      <c r="B756" s="712">
        <v>40897</v>
      </c>
      <c r="C756" t="s">
        <v>2830</v>
      </c>
      <c r="D756"/>
      <c r="E756" s="713" t="s">
        <v>2707</v>
      </c>
      <c r="G756" s="701">
        <v>1927</v>
      </c>
    </row>
    <row r="757" spans="1:9" outlineLevel="1" x14ac:dyDescent="0.2">
      <c r="A757" s="803"/>
      <c r="B757" s="712">
        <v>40897</v>
      </c>
      <c r="C757"/>
      <c r="D757" t="s">
        <v>3181</v>
      </c>
      <c r="E757" s="713" t="s">
        <v>2707</v>
      </c>
      <c r="G757" s="701">
        <v>1100</v>
      </c>
    </row>
    <row r="758" spans="1:9" outlineLevel="1" x14ac:dyDescent="0.2">
      <c r="A758" s="803"/>
      <c r="B758" s="712">
        <v>40897</v>
      </c>
      <c r="C758"/>
      <c r="D758" t="s">
        <v>3182</v>
      </c>
      <c r="E758" s="713" t="s">
        <v>2707</v>
      </c>
      <c r="G758" s="701">
        <v>1000</v>
      </c>
    </row>
    <row r="759" spans="1:9" outlineLevel="1" x14ac:dyDescent="0.2">
      <c r="A759" s="803"/>
      <c r="B759" s="712">
        <v>40897</v>
      </c>
      <c r="C759"/>
      <c r="D759" t="s">
        <v>3120</v>
      </c>
      <c r="E759" s="713" t="s">
        <v>1035</v>
      </c>
      <c r="G759" s="701">
        <v>2500</v>
      </c>
    </row>
    <row r="760" spans="1:9" s="726" customFormat="1" outlineLevel="1" x14ac:dyDescent="0.2">
      <c r="A760" s="967"/>
      <c r="B760" s="721">
        <v>40897</v>
      </c>
      <c r="C760" s="588"/>
      <c r="D760" s="588" t="s">
        <v>3207</v>
      </c>
      <c r="E760" s="726" t="s">
        <v>2730</v>
      </c>
      <c r="G760" s="723">
        <v>24000</v>
      </c>
      <c r="H760" s="968"/>
      <c r="I760" s="969"/>
    </row>
    <row r="761" spans="1:9" outlineLevel="1" x14ac:dyDescent="0.2">
      <c r="A761" s="803"/>
      <c r="B761" s="712">
        <v>40897</v>
      </c>
      <c r="C761" t="s">
        <v>479</v>
      </c>
      <c r="D761"/>
      <c r="E761" t="s">
        <v>2719</v>
      </c>
      <c r="G761" s="701">
        <v>6800</v>
      </c>
    </row>
    <row r="762" spans="1:9" outlineLevel="1" x14ac:dyDescent="0.2">
      <c r="A762" s="803"/>
      <c r="B762" s="712">
        <v>40898</v>
      </c>
      <c r="C762" t="s">
        <v>367</v>
      </c>
      <c r="D762"/>
      <c r="E762" t="s">
        <v>2707</v>
      </c>
      <c r="G762" s="701">
        <v>1230</v>
      </c>
    </row>
    <row r="763" spans="1:9" outlineLevel="1" x14ac:dyDescent="0.2">
      <c r="A763" s="803"/>
      <c r="B763" s="712">
        <v>40898</v>
      </c>
      <c r="C763" t="s">
        <v>367</v>
      </c>
      <c r="D763" t="s">
        <v>3176</v>
      </c>
      <c r="E763" t="s">
        <v>1035</v>
      </c>
      <c r="G763" s="701">
        <v>6390</v>
      </c>
    </row>
    <row r="764" spans="1:9" outlineLevel="1" x14ac:dyDescent="0.2">
      <c r="A764" s="803"/>
      <c r="B764" s="712">
        <v>40898</v>
      </c>
      <c r="C764" t="s">
        <v>367</v>
      </c>
      <c r="D764" t="s">
        <v>3177</v>
      </c>
      <c r="E764" t="s">
        <v>1035</v>
      </c>
      <c r="G764" s="701">
        <v>400</v>
      </c>
    </row>
    <row r="765" spans="1:9" outlineLevel="1" x14ac:dyDescent="0.2">
      <c r="A765" s="803"/>
      <c r="B765" s="712">
        <v>40898</v>
      </c>
      <c r="C765" t="s">
        <v>367</v>
      </c>
      <c r="D765" t="s">
        <v>3178</v>
      </c>
      <c r="E765" t="s">
        <v>1035</v>
      </c>
      <c r="G765" s="701">
        <v>680</v>
      </c>
    </row>
    <row r="766" spans="1:9" outlineLevel="1" x14ac:dyDescent="0.2">
      <c r="A766" s="803"/>
      <c r="B766" s="712">
        <v>40898</v>
      </c>
      <c r="C766" t="s">
        <v>2894</v>
      </c>
      <c r="D766" t="s">
        <v>3179</v>
      </c>
      <c r="E766" t="s">
        <v>1035</v>
      </c>
      <c r="G766" s="701">
        <v>3230</v>
      </c>
    </row>
    <row r="767" spans="1:9" outlineLevel="1" x14ac:dyDescent="0.2">
      <c r="A767" s="803"/>
      <c r="B767" s="712">
        <v>40898</v>
      </c>
      <c r="C767" t="s">
        <v>2712</v>
      </c>
      <c r="D767" t="s">
        <v>2713</v>
      </c>
      <c r="E767" s="713" t="s">
        <v>2714</v>
      </c>
      <c r="G767" s="701">
        <v>400</v>
      </c>
    </row>
    <row r="768" spans="1:9" outlineLevel="1" x14ac:dyDescent="0.2">
      <c r="A768" s="803"/>
      <c r="B768" s="712">
        <v>40899</v>
      </c>
      <c r="C768" t="s">
        <v>2712</v>
      </c>
      <c r="D768" t="s">
        <v>2713</v>
      </c>
      <c r="E768" s="713" t="s">
        <v>2714</v>
      </c>
      <c r="G768" s="701">
        <v>3000</v>
      </c>
    </row>
    <row r="769" spans="1:7" outlineLevel="1" x14ac:dyDescent="0.2">
      <c r="A769" s="803"/>
      <c r="B769" s="712">
        <v>40899</v>
      </c>
      <c r="C769" t="s">
        <v>367</v>
      </c>
      <c r="D769"/>
      <c r="E769" t="s">
        <v>2707</v>
      </c>
      <c r="G769" s="701">
        <v>13040</v>
      </c>
    </row>
    <row r="770" spans="1:7" outlineLevel="1" x14ac:dyDescent="0.2">
      <c r="A770" s="803"/>
      <c r="B770" s="712">
        <v>40899</v>
      </c>
      <c r="C770" t="s">
        <v>3110</v>
      </c>
      <c r="D770" t="s">
        <v>3186</v>
      </c>
      <c r="E770" t="s">
        <v>2705</v>
      </c>
      <c r="G770" s="701">
        <v>19500</v>
      </c>
    </row>
    <row r="771" spans="1:7" outlineLevel="1" x14ac:dyDescent="0.2">
      <c r="A771" s="803"/>
      <c r="B771" s="712">
        <v>40899</v>
      </c>
      <c r="C771" t="s">
        <v>2708</v>
      </c>
      <c r="D771" s="713" t="s">
        <v>2709</v>
      </c>
      <c r="E771" s="713" t="s">
        <v>2709</v>
      </c>
      <c r="G771" s="896">
        <v>2651</v>
      </c>
    </row>
    <row r="772" spans="1:7" outlineLevel="1" x14ac:dyDescent="0.2">
      <c r="A772" s="803"/>
      <c r="B772" s="712">
        <v>40899</v>
      </c>
      <c r="C772"/>
      <c r="D772" s="713" t="s">
        <v>2804</v>
      </c>
      <c r="E772" s="713" t="s">
        <v>2707</v>
      </c>
      <c r="G772" s="896">
        <v>400</v>
      </c>
    </row>
    <row r="773" spans="1:7" outlineLevel="1" x14ac:dyDescent="0.2">
      <c r="A773" s="803"/>
      <c r="B773" s="712">
        <v>40899</v>
      </c>
      <c r="C773"/>
      <c r="D773" s="713" t="s">
        <v>3188</v>
      </c>
      <c r="E773" s="713" t="s">
        <v>3078</v>
      </c>
      <c r="G773" s="896">
        <v>26690</v>
      </c>
    </row>
    <row r="774" spans="1:7" outlineLevel="1" x14ac:dyDescent="0.2">
      <c r="A774" s="803"/>
      <c r="B774" s="712">
        <v>40899</v>
      </c>
      <c r="C774" s="713" t="s">
        <v>2706</v>
      </c>
      <c r="D774" t="s">
        <v>2784</v>
      </c>
      <c r="E774" s="713" t="s">
        <v>2700</v>
      </c>
      <c r="G774" s="701">
        <v>5000</v>
      </c>
    </row>
    <row r="775" spans="1:7" outlineLevel="1" x14ac:dyDescent="0.2">
      <c r="A775" s="803"/>
      <c r="B775" s="712">
        <v>40900</v>
      </c>
      <c r="C775" t="s">
        <v>367</v>
      </c>
      <c r="D775" t="s">
        <v>3176</v>
      </c>
      <c r="E775" t="s">
        <v>1035</v>
      </c>
      <c r="G775" s="701">
        <v>8290</v>
      </c>
    </row>
    <row r="776" spans="1:7" outlineLevel="1" x14ac:dyDescent="0.2">
      <c r="A776" s="803"/>
      <c r="B776" s="712">
        <v>40900</v>
      </c>
      <c r="C776" t="s">
        <v>367</v>
      </c>
      <c r="D776"/>
      <c r="E776" t="s">
        <v>2707</v>
      </c>
      <c r="G776" s="701">
        <v>970</v>
      </c>
    </row>
    <row r="777" spans="1:7" outlineLevel="1" x14ac:dyDescent="0.2">
      <c r="A777" s="803"/>
      <c r="B777" s="712">
        <v>40900</v>
      </c>
      <c r="C777" t="s">
        <v>2708</v>
      </c>
      <c r="D777" s="713" t="s">
        <v>2709</v>
      </c>
      <c r="E777" s="713" t="s">
        <v>2709</v>
      </c>
      <c r="G777" s="896">
        <v>822</v>
      </c>
    </row>
    <row r="778" spans="1:7" outlineLevel="1" x14ac:dyDescent="0.2">
      <c r="A778" s="803"/>
      <c r="B778" s="712">
        <v>40900</v>
      </c>
      <c r="C778"/>
      <c r="D778" s="713" t="s">
        <v>3187</v>
      </c>
      <c r="E778" s="713" t="s">
        <v>1035</v>
      </c>
      <c r="G778" s="896">
        <v>3000</v>
      </c>
    </row>
    <row r="779" spans="1:7" outlineLevel="1" x14ac:dyDescent="0.2">
      <c r="A779" s="803"/>
      <c r="B779" s="712">
        <v>40900</v>
      </c>
      <c r="C779" t="s">
        <v>2708</v>
      </c>
      <c r="D779" s="713" t="s">
        <v>2709</v>
      </c>
      <c r="E779" s="713" t="s">
        <v>2709</v>
      </c>
      <c r="G779" s="896">
        <v>528</v>
      </c>
    </row>
    <row r="780" spans="1:7" outlineLevel="1" x14ac:dyDescent="0.2">
      <c r="A780" s="803"/>
      <c r="B780" s="712">
        <v>40900</v>
      </c>
      <c r="C780" t="s">
        <v>2830</v>
      </c>
      <c r="D780"/>
      <c r="E780" t="s">
        <v>2707</v>
      </c>
      <c r="G780" s="701">
        <v>170</v>
      </c>
    </row>
    <row r="781" spans="1:7" outlineLevel="1" x14ac:dyDescent="0.2">
      <c r="A781" s="803"/>
      <c r="B781" s="712">
        <v>40901</v>
      </c>
      <c r="D781"/>
    </row>
    <row r="782" spans="1:7" outlineLevel="1" x14ac:dyDescent="0.2">
      <c r="A782" s="803"/>
      <c r="B782" s="712">
        <v>40902</v>
      </c>
      <c r="D782"/>
    </row>
    <row r="783" spans="1:7" outlineLevel="1" x14ac:dyDescent="0.2">
      <c r="A783" s="803"/>
      <c r="B783" s="712">
        <v>40903</v>
      </c>
      <c r="C783" s="713" t="s">
        <v>2706</v>
      </c>
      <c r="D783" t="s">
        <v>2784</v>
      </c>
      <c r="E783" s="713" t="s">
        <v>2700</v>
      </c>
      <c r="G783" s="701">
        <v>10000</v>
      </c>
    </row>
    <row r="784" spans="1:7" outlineLevel="1" x14ac:dyDescent="0.2">
      <c r="A784" s="803"/>
      <c r="B784" s="712">
        <v>40904</v>
      </c>
      <c r="D784"/>
    </row>
    <row r="785" spans="1:7" outlineLevel="1" x14ac:dyDescent="0.2">
      <c r="A785" s="803"/>
      <c r="B785" s="712">
        <v>40905</v>
      </c>
      <c r="C785" t="s">
        <v>1675</v>
      </c>
      <c r="D785" t="s">
        <v>3190</v>
      </c>
      <c r="E785" t="s">
        <v>1035</v>
      </c>
      <c r="G785" s="701">
        <v>2260</v>
      </c>
    </row>
    <row r="786" spans="1:7" outlineLevel="1" x14ac:dyDescent="0.2">
      <c r="A786" s="803"/>
      <c r="B786" s="712">
        <v>40905</v>
      </c>
      <c r="C786"/>
      <c r="D786" t="s">
        <v>3191</v>
      </c>
      <c r="E786" t="s">
        <v>1035</v>
      </c>
      <c r="G786" s="701">
        <v>5000</v>
      </c>
    </row>
    <row r="787" spans="1:7" outlineLevel="1" x14ac:dyDescent="0.2">
      <c r="A787" s="803"/>
      <c r="B787" s="712">
        <v>40905</v>
      </c>
      <c r="C787"/>
      <c r="D787" t="s">
        <v>3192</v>
      </c>
      <c r="E787" t="s">
        <v>1035</v>
      </c>
      <c r="G787" s="701">
        <v>950</v>
      </c>
    </row>
    <row r="788" spans="1:7" outlineLevel="1" x14ac:dyDescent="0.2">
      <c r="A788" s="803"/>
      <c r="B788" s="712">
        <v>40905</v>
      </c>
      <c r="C788"/>
      <c r="D788"/>
      <c r="E788" t="s">
        <v>2707</v>
      </c>
      <c r="G788" s="701">
        <v>1100</v>
      </c>
    </row>
    <row r="789" spans="1:7" outlineLevel="1" x14ac:dyDescent="0.2">
      <c r="A789" s="803"/>
      <c r="B789" s="712">
        <v>40905</v>
      </c>
      <c r="C789"/>
      <c r="D789" t="s">
        <v>2713</v>
      </c>
      <c r="E789" s="713" t="s">
        <v>2714</v>
      </c>
      <c r="G789" s="701">
        <v>1100</v>
      </c>
    </row>
    <row r="790" spans="1:7" outlineLevel="1" x14ac:dyDescent="0.2">
      <c r="A790" s="803"/>
      <c r="B790" s="712">
        <v>40905</v>
      </c>
      <c r="C790"/>
      <c r="D790" t="s">
        <v>3193</v>
      </c>
      <c r="E790" s="713" t="s">
        <v>1035</v>
      </c>
      <c r="G790" s="701">
        <v>1500</v>
      </c>
    </row>
    <row r="791" spans="1:7" outlineLevel="1" x14ac:dyDescent="0.2">
      <c r="A791" s="803"/>
      <c r="B791" s="712">
        <v>40905</v>
      </c>
      <c r="C791"/>
      <c r="D791" t="s">
        <v>2833</v>
      </c>
      <c r="E791" s="713" t="s">
        <v>1035</v>
      </c>
      <c r="G791" s="701">
        <v>2100</v>
      </c>
    </row>
    <row r="792" spans="1:7" outlineLevel="1" x14ac:dyDescent="0.2">
      <c r="A792" s="803"/>
      <c r="B792" s="712">
        <v>40905</v>
      </c>
      <c r="C792"/>
      <c r="D792" t="s">
        <v>3194</v>
      </c>
      <c r="E792" s="713" t="s">
        <v>2707</v>
      </c>
      <c r="G792" s="701">
        <v>3000</v>
      </c>
    </row>
    <row r="793" spans="1:7" outlineLevel="1" x14ac:dyDescent="0.2">
      <c r="A793" s="803"/>
      <c r="B793" s="712">
        <v>40905</v>
      </c>
      <c r="C793"/>
      <c r="D793" t="s">
        <v>3195</v>
      </c>
      <c r="E793" s="713" t="s">
        <v>1035</v>
      </c>
      <c r="G793" s="701">
        <v>800</v>
      </c>
    </row>
    <row r="794" spans="1:7" outlineLevel="1" x14ac:dyDescent="0.2">
      <c r="A794" s="803"/>
      <c r="B794" s="712">
        <v>40906</v>
      </c>
      <c r="D794" t="s">
        <v>3189</v>
      </c>
      <c r="E794" t="s">
        <v>2707</v>
      </c>
      <c r="G794" s="701">
        <v>1040</v>
      </c>
    </row>
    <row r="795" spans="1:7" outlineLevel="1" x14ac:dyDescent="0.2">
      <c r="A795" s="803"/>
      <c r="B795" s="712">
        <v>40906</v>
      </c>
      <c r="C795" t="s">
        <v>2849</v>
      </c>
      <c r="D795" t="s">
        <v>3196</v>
      </c>
      <c r="E795" t="s">
        <v>1035</v>
      </c>
      <c r="G795" s="701">
        <v>2990</v>
      </c>
    </row>
    <row r="796" spans="1:7" outlineLevel="1" x14ac:dyDescent="0.2">
      <c r="A796" s="803"/>
      <c r="B796" s="712">
        <v>40907</v>
      </c>
      <c r="D796"/>
    </row>
    <row r="797" spans="1:7" outlineLevel="1" x14ac:dyDescent="0.2">
      <c r="A797" s="803"/>
      <c r="B797" s="712">
        <v>40908</v>
      </c>
      <c r="C797" t="s">
        <v>2712</v>
      </c>
      <c r="D797" t="s">
        <v>2713</v>
      </c>
      <c r="E797" s="713" t="s">
        <v>2714</v>
      </c>
      <c r="G797" s="701">
        <v>2680</v>
      </c>
    </row>
    <row r="798" spans="1:7" outlineLevel="1" x14ac:dyDescent="0.2">
      <c r="A798" s="803"/>
      <c r="B798" s="712">
        <v>40908</v>
      </c>
      <c r="C798" t="s">
        <v>367</v>
      </c>
      <c r="D798" t="s">
        <v>3176</v>
      </c>
      <c r="E798" t="s">
        <v>1035</v>
      </c>
      <c r="G798" s="701">
        <v>6390</v>
      </c>
    </row>
    <row r="799" spans="1:7" outlineLevel="1" x14ac:dyDescent="0.2">
      <c r="A799" s="803"/>
      <c r="B799" s="712">
        <v>40908</v>
      </c>
      <c r="C799" t="s">
        <v>367</v>
      </c>
      <c r="D799" t="s">
        <v>3197</v>
      </c>
      <c r="E799" t="s">
        <v>1035</v>
      </c>
      <c r="G799" s="701">
        <v>3980</v>
      </c>
    </row>
    <row r="800" spans="1:7" outlineLevel="1" x14ac:dyDescent="0.2">
      <c r="A800" s="803"/>
      <c r="B800" s="712">
        <v>40908</v>
      </c>
      <c r="C800" t="s">
        <v>367</v>
      </c>
      <c r="D800" t="s">
        <v>3197</v>
      </c>
      <c r="E800" t="s">
        <v>2707</v>
      </c>
      <c r="G800" s="701">
        <v>6401</v>
      </c>
    </row>
    <row r="801" spans="1:9" ht="13.5" outlineLevel="1" thickBot="1" x14ac:dyDescent="0.25">
      <c r="A801" s="803"/>
      <c r="B801" s="712"/>
      <c r="D801"/>
    </row>
    <row r="802" spans="1:9" s="730" customFormat="1" ht="13.5" thickBot="1" x14ac:dyDescent="0.25">
      <c r="A802" s="808"/>
      <c r="B802" s="729" t="s">
        <v>2658</v>
      </c>
      <c r="G802" s="731">
        <f>SUM(G21:G800)</f>
        <v>3589972</v>
      </c>
      <c r="H802" s="732"/>
      <c r="I802" s="733"/>
    </row>
    <row r="803" spans="1:9" s="876" customFormat="1" x14ac:dyDescent="0.2">
      <c r="A803" s="873"/>
      <c r="B803" s="875"/>
      <c r="G803" s="877"/>
      <c r="H803" s="878"/>
      <c r="I803" s="879"/>
    </row>
    <row r="804" spans="1:9" x14ac:dyDescent="0.2">
      <c r="B804" s="712">
        <v>40909</v>
      </c>
      <c r="D804" t="s">
        <v>3198</v>
      </c>
      <c r="E804" t="s">
        <v>1035</v>
      </c>
      <c r="G804" s="701">
        <v>11500</v>
      </c>
    </row>
    <row r="805" spans="1:9" x14ac:dyDescent="0.2">
      <c r="B805" s="712">
        <v>40910</v>
      </c>
      <c r="C805" s="713" t="s">
        <v>2706</v>
      </c>
      <c r="D805" t="s">
        <v>2784</v>
      </c>
      <c r="E805" s="713" t="s">
        <v>2700</v>
      </c>
      <c r="G805" s="701">
        <v>10000</v>
      </c>
    </row>
    <row r="806" spans="1:9" x14ac:dyDescent="0.2">
      <c r="B806" s="712">
        <v>40910</v>
      </c>
      <c r="D806" t="s">
        <v>3200</v>
      </c>
      <c r="E806" t="s">
        <v>2736</v>
      </c>
      <c r="G806" s="701">
        <v>4000</v>
      </c>
    </row>
    <row r="807" spans="1:9" x14ac:dyDescent="0.2">
      <c r="B807" s="712">
        <v>40910</v>
      </c>
      <c r="D807" t="s">
        <v>3199</v>
      </c>
      <c r="E807" t="s">
        <v>2736</v>
      </c>
      <c r="G807" s="701">
        <v>850</v>
      </c>
    </row>
    <row r="808" spans="1:9" x14ac:dyDescent="0.2">
      <c r="B808" s="712">
        <v>40910</v>
      </c>
      <c r="C808" t="s">
        <v>2712</v>
      </c>
      <c r="D808" t="s">
        <v>2713</v>
      </c>
      <c r="E808" s="713" t="s">
        <v>2714</v>
      </c>
      <c r="G808" s="701">
        <v>500</v>
      </c>
    </row>
    <row r="809" spans="1:9" x14ac:dyDescent="0.2">
      <c r="B809" s="712">
        <v>40911</v>
      </c>
      <c r="D809" t="s">
        <v>3206</v>
      </c>
      <c r="E809" s="713" t="s">
        <v>1035</v>
      </c>
      <c r="G809" s="719">
        <v>10000</v>
      </c>
    </row>
    <row r="810" spans="1:9" x14ac:dyDescent="0.2">
      <c r="B810" s="712">
        <v>40912</v>
      </c>
      <c r="C810" t="s">
        <v>367</v>
      </c>
      <c r="D810"/>
      <c r="E810" t="s">
        <v>2707</v>
      </c>
      <c r="G810" s="701">
        <v>9654</v>
      </c>
    </row>
    <row r="811" spans="1:9" x14ac:dyDescent="0.2">
      <c r="B811" s="712">
        <v>40913</v>
      </c>
      <c r="D811" t="s">
        <v>3201</v>
      </c>
      <c r="E811" t="s">
        <v>1035</v>
      </c>
      <c r="G811" s="701">
        <v>7250</v>
      </c>
    </row>
    <row r="812" spans="1:9" x14ac:dyDescent="0.2">
      <c r="B812" s="712">
        <v>40913</v>
      </c>
      <c r="C812" t="s">
        <v>3202</v>
      </c>
      <c r="D812" t="s">
        <v>3203</v>
      </c>
      <c r="E812" t="s">
        <v>1035</v>
      </c>
      <c r="G812" s="701">
        <v>1750</v>
      </c>
    </row>
    <row r="813" spans="1:9" x14ac:dyDescent="0.2">
      <c r="B813" s="712">
        <v>40913</v>
      </c>
      <c r="C813"/>
      <c r="D813" t="s">
        <v>3204</v>
      </c>
      <c r="E813" t="s">
        <v>2750</v>
      </c>
      <c r="G813" s="701">
        <v>1905</v>
      </c>
    </row>
    <row r="814" spans="1:9" x14ac:dyDescent="0.2">
      <c r="B814" s="712">
        <v>40913</v>
      </c>
      <c r="C814"/>
      <c r="D814" t="s">
        <v>3205</v>
      </c>
      <c r="E814" t="s">
        <v>2750</v>
      </c>
      <c r="G814" s="701">
        <v>355</v>
      </c>
    </row>
    <row r="815" spans="1:9" x14ac:dyDescent="0.2">
      <c r="B815" s="712">
        <v>40914</v>
      </c>
      <c r="C815" t="s">
        <v>2704</v>
      </c>
      <c r="E815" t="s">
        <v>2724</v>
      </c>
      <c r="G815" s="701">
        <v>465</v>
      </c>
    </row>
    <row r="816" spans="1:9" x14ac:dyDescent="0.2">
      <c r="B816" s="712">
        <v>40914</v>
      </c>
      <c r="C816" t="s">
        <v>2712</v>
      </c>
      <c r="D816" t="s">
        <v>2713</v>
      </c>
      <c r="E816" s="713" t="s">
        <v>2714</v>
      </c>
      <c r="G816" s="701">
        <v>4125</v>
      </c>
    </row>
    <row r="817" spans="2:7" x14ac:dyDescent="0.2">
      <c r="B817" s="712">
        <v>40914</v>
      </c>
      <c r="C817"/>
      <c r="D817" t="s">
        <v>2763</v>
      </c>
      <c r="E817" s="713" t="s">
        <v>2707</v>
      </c>
      <c r="G817" s="701">
        <v>1900</v>
      </c>
    </row>
    <row r="818" spans="2:7" x14ac:dyDescent="0.2">
      <c r="B818" s="712">
        <v>40914</v>
      </c>
      <c r="C818" t="s">
        <v>2757</v>
      </c>
      <c r="D818" t="s">
        <v>3068</v>
      </c>
      <c r="E818" t="s">
        <v>1035</v>
      </c>
      <c r="G818" s="701">
        <v>3970</v>
      </c>
    </row>
    <row r="819" spans="2:7" x14ac:dyDescent="0.2">
      <c r="B819" s="712">
        <v>40915</v>
      </c>
    </row>
    <row r="820" spans="2:7" x14ac:dyDescent="0.2">
      <c r="B820" s="712">
        <v>40916</v>
      </c>
      <c r="C820" t="s">
        <v>367</v>
      </c>
      <c r="D820"/>
      <c r="E820" t="s">
        <v>2707</v>
      </c>
      <c r="G820" s="701">
        <v>8380</v>
      </c>
    </row>
    <row r="821" spans="2:7" x14ac:dyDescent="0.2">
      <c r="B821" s="712">
        <v>40917</v>
      </c>
      <c r="C821" s="713" t="s">
        <v>2706</v>
      </c>
      <c r="D821" t="s">
        <v>2784</v>
      </c>
      <c r="E821" s="713" t="s">
        <v>2700</v>
      </c>
      <c r="G821" s="701">
        <v>10000</v>
      </c>
    </row>
    <row r="822" spans="2:7" x14ac:dyDescent="0.2">
      <c r="B822" s="712">
        <v>40917</v>
      </c>
      <c r="D822" t="s">
        <v>3208</v>
      </c>
      <c r="E822" s="713" t="s">
        <v>1035</v>
      </c>
      <c r="G822" s="701">
        <v>2700</v>
      </c>
    </row>
    <row r="823" spans="2:7" x14ac:dyDescent="0.2">
      <c r="B823" s="712">
        <v>40917</v>
      </c>
      <c r="D823" t="s">
        <v>2786</v>
      </c>
      <c r="E823" s="713" t="s">
        <v>1035</v>
      </c>
      <c r="G823" s="701">
        <v>300</v>
      </c>
    </row>
    <row r="824" spans="2:7" x14ac:dyDescent="0.2">
      <c r="B824" s="712">
        <v>40918</v>
      </c>
    </row>
    <row r="825" spans="2:7" x14ac:dyDescent="0.2">
      <c r="B825" s="712">
        <v>40919</v>
      </c>
      <c r="C825" t="s">
        <v>2708</v>
      </c>
      <c r="D825" s="713" t="s">
        <v>2709</v>
      </c>
      <c r="E825" s="713" t="s">
        <v>2709</v>
      </c>
      <c r="G825" s="896">
        <v>2835</v>
      </c>
    </row>
    <row r="826" spans="2:7" x14ac:dyDescent="0.2">
      <c r="B826" s="712">
        <v>40920</v>
      </c>
      <c r="C826" t="s">
        <v>367</v>
      </c>
      <c r="D826"/>
      <c r="E826" t="s">
        <v>2707</v>
      </c>
      <c r="G826" s="701">
        <v>6097</v>
      </c>
    </row>
    <row r="827" spans="2:7" x14ac:dyDescent="0.2">
      <c r="B827" s="712">
        <v>40921</v>
      </c>
      <c r="C827" t="s">
        <v>479</v>
      </c>
      <c r="D827"/>
      <c r="E827" t="s">
        <v>2719</v>
      </c>
      <c r="G827" s="701">
        <v>7670</v>
      </c>
    </row>
    <row r="828" spans="2:7" x14ac:dyDescent="0.2">
      <c r="B828" s="712">
        <v>40922</v>
      </c>
      <c r="C828" t="s">
        <v>2712</v>
      </c>
      <c r="D828" t="s">
        <v>2713</v>
      </c>
      <c r="E828" s="713" t="s">
        <v>2714</v>
      </c>
      <c r="G828" s="701">
        <v>1350</v>
      </c>
    </row>
    <row r="829" spans="2:7" x14ac:dyDescent="0.2">
      <c r="B829" s="712">
        <v>40922</v>
      </c>
      <c r="C829"/>
      <c r="D829" t="s">
        <v>3209</v>
      </c>
      <c r="E829" s="713" t="s">
        <v>1035</v>
      </c>
      <c r="G829" s="701">
        <v>2830</v>
      </c>
    </row>
    <row r="830" spans="2:7" x14ac:dyDescent="0.2">
      <c r="B830" s="712">
        <v>40923</v>
      </c>
    </row>
    <row r="831" spans="2:7" x14ac:dyDescent="0.2">
      <c r="B831" s="712">
        <v>40924</v>
      </c>
      <c r="C831" s="713" t="s">
        <v>3211</v>
      </c>
      <c r="D831" t="s">
        <v>3210</v>
      </c>
      <c r="E831" s="713" t="s">
        <v>1035</v>
      </c>
      <c r="G831" s="701">
        <v>910</v>
      </c>
    </row>
    <row r="832" spans="2:7" x14ac:dyDescent="0.2">
      <c r="B832" s="712">
        <v>40925</v>
      </c>
      <c r="C832" t="s">
        <v>367</v>
      </c>
      <c r="D832"/>
      <c r="E832" t="s">
        <v>2707</v>
      </c>
      <c r="G832" s="701">
        <v>6097</v>
      </c>
    </row>
    <row r="833" spans="2:7" x14ac:dyDescent="0.2">
      <c r="B833" s="712">
        <v>40925</v>
      </c>
      <c r="C833" s="713" t="s">
        <v>2706</v>
      </c>
      <c r="D833" t="s">
        <v>2784</v>
      </c>
      <c r="E833" s="713" t="s">
        <v>2700</v>
      </c>
      <c r="G833" s="701">
        <v>10000</v>
      </c>
    </row>
    <row r="834" spans="2:7" x14ac:dyDescent="0.2">
      <c r="B834" s="712">
        <v>40925</v>
      </c>
      <c r="C834" t="s">
        <v>2708</v>
      </c>
      <c r="D834" s="713" t="s">
        <v>2709</v>
      </c>
      <c r="E834" s="713" t="s">
        <v>2709</v>
      </c>
      <c r="G834" s="896">
        <v>2436</v>
      </c>
    </row>
    <row r="835" spans="2:7" x14ac:dyDescent="0.2">
      <c r="B835" s="712">
        <v>40925</v>
      </c>
      <c r="C835" t="s">
        <v>2712</v>
      </c>
      <c r="D835" t="s">
        <v>2713</v>
      </c>
      <c r="E835" s="713" t="s">
        <v>2714</v>
      </c>
      <c r="G835" s="701">
        <v>890</v>
      </c>
    </row>
    <row r="836" spans="2:7" x14ac:dyDescent="0.2">
      <c r="B836" s="712">
        <v>40925</v>
      </c>
      <c r="C836" t="s">
        <v>2758</v>
      </c>
      <c r="D836" t="s">
        <v>2759</v>
      </c>
      <c r="E836" s="713" t="s">
        <v>2707</v>
      </c>
      <c r="G836" s="701">
        <v>6980</v>
      </c>
    </row>
    <row r="837" spans="2:7" x14ac:dyDescent="0.2">
      <c r="B837" s="712">
        <v>40926</v>
      </c>
      <c r="C837" t="s">
        <v>3213</v>
      </c>
      <c r="D837" t="s">
        <v>3212</v>
      </c>
      <c r="E837" s="713" t="s">
        <v>1035</v>
      </c>
      <c r="G837" s="701">
        <v>800</v>
      </c>
    </row>
    <row r="838" spans="2:7" x14ac:dyDescent="0.2">
      <c r="B838" s="712">
        <v>40926</v>
      </c>
      <c r="C838" s="713" t="s">
        <v>3211</v>
      </c>
      <c r="D838" t="s">
        <v>3214</v>
      </c>
      <c r="E838" s="713" t="s">
        <v>1035</v>
      </c>
      <c r="G838" s="701">
        <v>280</v>
      </c>
    </row>
    <row r="839" spans="2:7" x14ac:dyDescent="0.2">
      <c r="B839" s="712">
        <v>40926</v>
      </c>
      <c r="D839" t="s">
        <v>3109</v>
      </c>
      <c r="E839" s="713" t="s">
        <v>1035</v>
      </c>
      <c r="G839" s="701">
        <v>390</v>
      </c>
    </row>
    <row r="840" spans="2:7" x14ac:dyDescent="0.2">
      <c r="B840" s="712">
        <v>40927</v>
      </c>
    </row>
    <row r="841" spans="2:7" x14ac:dyDescent="0.2">
      <c r="B841" s="712">
        <v>40928</v>
      </c>
      <c r="C841" t="s">
        <v>2830</v>
      </c>
      <c r="D841"/>
      <c r="E841" s="713" t="s">
        <v>2707</v>
      </c>
      <c r="G841" s="701">
        <v>2300</v>
      </c>
    </row>
    <row r="842" spans="2:7" x14ac:dyDescent="0.2">
      <c r="B842" s="712">
        <v>40928</v>
      </c>
      <c r="C842"/>
      <c r="D842" t="s">
        <v>3068</v>
      </c>
      <c r="E842" t="s">
        <v>1035</v>
      </c>
      <c r="G842" s="701">
        <v>2200</v>
      </c>
    </row>
    <row r="843" spans="2:7" x14ac:dyDescent="0.2">
      <c r="B843" s="712">
        <v>40928</v>
      </c>
      <c r="C843" t="s">
        <v>2712</v>
      </c>
      <c r="D843" t="s">
        <v>2713</v>
      </c>
      <c r="E843" s="713" t="s">
        <v>2714</v>
      </c>
      <c r="G843" s="701">
        <v>1240</v>
      </c>
    </row>
    <row r="844" spans="2:7" x14ac:dyDescent="0.2">
      <c r="B844" s="712">
        <v>40928</v>
      </c>
      <c r="C844" t="s">
        <v>2932</v>
      </c>
      <c r="D844"/>
      <c r="E844" s="713" t="s">
        <v>2707</v>
      </c>
      <c r="G844" s="701">
        <v>850</v>
      </c>
    </row>
    <row r="845" spans="2:7" x14ac:dyDescent="0.2">
      <c r="B845" s="712">
        <v>40929</v>
      </c>
    </row>
    <row r="846" spans="2:7" x14ac:dyDescent="0.2">
      <c r="B846" s="712">
        <v>40930</v>
      </c>
      <c r="C846" t="s">
        <v>367</v>
      </c>
      <c r="D846"/>
      <c r="E846" t="s">
        <v>2707</v>
      </c>
      <c r="G846" s="701">
        <v>5708</v>
      </c>
    </row>
    <row r="847" spans="2:7" x14ac:dyDescent="0.2">
      <c r="B847" s="712">
        <v>40930</v>
      </c>
      <c r="C847" t="s">
        <v>2712</v>
      </c>
      <c r="D847" t="s">
        <v>2713</v>
      </c>
      <c r="E847" s="713" t="s">
        <v>2714</v>
      </c>
      <c r="G847" s="701">
        <v>2410</v>
      </c>
    </row>
    <row r="848" spans="2:7" x14ac:dyDescent="0.2">
      <c r="B848" s="712">
        <v>40931</v>
      </c>
    </row>
    <row r="849" spans="2:7" x14ac:dyDescent="0.2">
      <c r="B849" s="712">
        <v>40932</v>
      </c>
      <c r="C849" t="s">
        <v>2708</v>
      </c>
      <c r="D849" s="713" t="s">
        <v>2709</v>
      </c>
      <c r="E849" s="713" t="s">
        <v>2709</v>
      </c>
      <c r="G849" s="896">
        <v>1405</v>
      </c>
    </row>
    <row r="850" spans="2:7" x14ac:dyDescent="0.2">
      <c r="B850" s="712">
        <v>40932</v>
      </c>
      <c r="C850" t="s">
        <v>479</v>
      </c>
      <c r="D850"/>
      <c r="E850" t="s">
        <v>2719</v>
      </c>
      <c r="G850" s="701">
        <v>4590</v>
      </c>
    </row>
    <row r="851" spans="2:7" x14ac:dyDescent="0.2">
      <c r="B851" s="712">
        <v>40932</v>
      </c>
      <c r="C851"/>
      <c r="D851" t="s">
        <v>3216</v>
      </c>
      <c r="E851" t="s">
        <v>2722</v>
      </c>
      <c r="G851" s="896">
        <v>2530</v>
      </c>
    </row>
    <row r="852" spans="2:7" x14ac:dyDescent="0.2">
      <c r="B852" s="712">
        <v>40932</v>
      </c>
      <c r="C852"/>
      <c r="D852" t="s">
        <v>3217</v>
      </c>
      <c r="E852" t="s">
        <v>2719</v>
      </c>
      <c r="G852" s="701">
        <v>1500</v>
      </c>
    </row>
    <row r="853" spans="2:7" x14ac:dyDescent="0.2">
      <c r="B853" s="712">
        <v>40932</v>
      </c>
      <c r="C853" t="s">
        <v>2712</v>
      </c>
      <c r="D853" t="s">
        <v>2713</v>
      </c>
      <c r="E853" s="713" t="s">
        <v>2714</v>
      </c>
      <c r="G853" s="701">
        <v>600</v>
      </c>
    </row>
    <row r="854" spans="2:7" x14ac:dyDescent="0.2">
      <c r="B854" s="712">
        <v>40933</v>
      </c>
    </row>
    <row r="855" spans="2:7" x14ac:dyDescent="0.2">
      <c r="B855" s="712">
        <v>40934</v>
      </c>
      <c r="C855" t="s">
        <v>2830</v>
      </c>
      <c r="D855"/>
      <c r="E855" s="713" t="s">
        <v>2707</v>
      </c>
      <c r="G855" s="701">
        <v>3370</v>
      </c>
    </row>
    <row r="856" spans="2:7" x14ac:dyDescent="0.2">
      <c r="B856" s="712">
        <v>40934</v>
      </c>
      <c r="C856"/>
      <c r="D856" t="s">
        <v>3218</v>
      </c>
      <c r="E856" s="713" t="s">
        <v>1035</v>
      </c>
      <c r="G856" s="701">
        <v>10000</v>
      </c>
    </row>
    <row r="857" spans="2:7" x14ac:dyDescent="0.2">
      <c r="B857" s="712">
        <v>40934</v>
      </c>
      <c r="C857"/>
      <c r="D857" t="s">
        <v>3219</v>
      </c>
      <c r="E857" s="713" t="s">
        <v>1035</v>
      </c>
      <c r="G857" s="701">
        <v>3000</v>
      </c>
    </row>
    <row r="858" spans="2:7" x14ac:dyDescent="0.2">
      <c r="B858" s="712">
        <v>40935</v>
      </c>
      <c r="C858" t="s">
        <v>367</v>
      </c>
      <c r="D858"/>
      <c r="E858" t="s">
        <v>2707</v>
      </c>
      <c r="G858" s="701">
        <v>3830</v>
      </c>
    </row>
    <row r="859" spans="2:7" x14ac:dyDescent="0.2">
      <c r="B859" s="712">
        <v>40935</v>
      </c>
      <c r="C859" t="s">
        <v>2712</v>
      </c>
      <c r="D859" t="s">
        <v>2713</v>
      </c>
      <c r="E859" s="713" t="s">
        <v>2714</v>
      </c>
      <c r="G859" s="701">
        <v>1815</v>
      </c>
    </row>
    <row r="860" spans="2:7" x14ac:dyDescent="0.2">
      <c r="B860" s="712">
        <v>40935</v>
      </c>
      <c r="D860" t="s">
        <v>2878</v>
      </c>
      <c r="E860" s="713" t="s">
        <v>1035</v>
      </c>
      <c r="G860" s="701">
        <v>3790</v>
      </c>
    </row>
    <row r="861" spans="2:7" x14ac:dyDescent="0.2">
      <c r="B861" s="712">
        <v>40935</v>
      </c>
      <c r="C861" t="s">
        <v>367</v>
      </c>
      <c r="D861"/>
      <c r="E861" t="s">
        <v>2707</v>
      </c>
      <c r="G861" s="701">
        <v>230</v>
      </c>
    </row>
    <row r="862" spans="2:7" x14ac:dyDescent="0.2">
      <c r="B862" s="712">
        <v>40935</v>
      </c>
      <c r="D862" t="s">
        <v>3220</v>
      </c>
      <c r="E862" t="s">
        <v>1035</v>
      </c>
      <c r="G862" s="701">
        <v>435</v>
      </c>
    </row>
    <row r="863" spans="2:7" x14ac:dyDescent="0.2">
      <c r="B863" s="712">
        <v>40935</v>
      </c>
      <c r="D863" t="s">
        <v>3221</v>
      </c>
      <c r="E863" t="s">
        <v>2707</v>
      </c>
      <c r="G863" s="701">
        <v>380</v>
      </c>
    </row>
    <row r="864" spans="2:7" x14ac:dyDescent="0.2">
      <c r="B864" s="712">
        <v>40935</v>
      </c>
      <c r="C864" s="713" t="s">
        <v>2706</v>
      </c>
      <c r="D864" t="s">
        <v>2784</v>
      </c>
      <c r="E864" s="713" t="s">
        <v>2700</v>
      </c>
      <c r="G864" s="701">
        <v>10000</v>
      </c>
    </row>
    <row r="865" spans="2:7" x14ac:dyDescent="0.2">
      <c r="B865" s="712">
        <v>40936</v>
      </c>
      <c r="D865" t="s">
        <v>3222</v>
      </c>
      <c r="E865" t="s">
        <v>1035</v>
      </c>
      <c r="G865" s="701">
        <v>30000</v>
      </c>
    </row>
    <row r="866" spans="2:7" x14ac:dyDescent="0.2">
      <c r="B866" s="712">
        <v>40936</v>
      </c>
      <c r="D866" t="s">
        <v>3223</v>
      </c>
      <c r="E866" t="s">
        <v>2736</v>
      </c>
      <c r="G866" s="701">
        <v>2900</v>
      </c>
    </row>
    <row r="867" spans="2:7" x14ac:dyDescent="0.2">
      <c r="B867" s="712">
        <v>40936</v>
      </c>
      <c r="D867" t="s">
        <v>3224</v>
      </c>
      <c r="E867" t="s">
        <v>1035</v>
      </c>
      <c r="G867" s="701">
        <v>300</v>
      </c>
    </row>
    <row r="868" spans="2:7" x14ac:dyDescent="0.2">
      <c r="B868" s="712">
        <v>40937</v>
      </c>
    </row>
    <row r="869" spans="2:7" x14ac:dyDescent="0.2">
      <c r="B869" s="712">
        <v>40938</v>
      </c>
      <c r="D869" s="713" t="s">
        <v>3222</v>
      </c>
      <c r="E869" s="713" t="s">
        <v>1035</v>
      </c>
      <c r="G869" s="701">
        <v>3280</v>
      </c>
    </row>
    <row r="870" spans="2:7" x14ac:dyDescent="0.2">
      <c r="B870" s="712">
        <v>40938</v>
      </c>
      <c r="D870" s="713" t="s">
        <v>2786</v>
      </c>
      <c r="E870" s="713" t="s">
        <v>1035</v>
      </c>
      <c r="G870" s="701">
        <v>500</v>
      </c>
    </row>
    <row r="871" spans="2:7" x14ac:dyDescent="0.2">
      <c r="B871" s="712">
        <v>40939</v>
      </c>
      <c r="C871" t="s">
        <v>367</v>
      </c>
      <c r="D871"/>
      <c r="E871" t="s">
        <v>2707</v>
      </c>
      <c r="G871" s="701">
        <v>5600</v>
      </c>
    </row>
    <row r="872" spans="2:7" x14ac:dyDescent="0.2">
      <c r="B872" s="712">
        <v>40939</v>
      </c>
      <c r="C872" t="s">
        <v>3228</v>
      </c>
      <c r="D872" t="s">
        <v>3227</v>
      </c>
      <c r="E872" t="s">
        <v>2705</v>
      </c>
      <c r="G872" s="701">
        <v>6000</v>
      </c>
    </row>
    <row r="873" spans="2:7" x14ac:dyDescent="0.2">
      <c r="B873" s="712">
        <v>40939</v>
      </c>
      <c r="C873"/>
      <c r="D873" t="s">
        <v>3229</v>
      </c>
      <c r="E873" t="s">
        <v>2724</v>
      </c>
      <c r="G873" s="701">
        <v>250</v>
      </c>
    </row>
    <row r="874" spans="2:7" x14ac:dyDescent="0.2">
      <c r="B874" s="712">
        <v>40940</v>
      </c>
    </row>
    <row r="875" spans="2:7" x14ac:dyDescent="0.2">
      <c r="B875" s="712">
        <v>40941</v>
      </c>
      <c r="C875" t="s">
        <v>2712</v>
      </c>
      <c r="D875" t="s">
        <v>2713</v>
      </c>
      <c r="E875" s="713" t="s">
        <v>2714</v>
      </c>
      <c r="G875" s="701">
        <v>2010</v>
      </c>
    </row>
    <row r="876" spans="2:7" x14ac:dyDescent="0.2">
      <c r="B876" s="712">
        <v>40942</v>
      </c>
      <c r="D876" t="s">
        <v>3230</v>
      </c>
      <c r="E876" s="713" t="s">
        <v>2750</v>
      </c>
      <c r="G876" s="701">
        <v>4345</v>
      </c>
    </row>
    <row r="877" spans="2:7" x14ac:dyDescent="0.2">
      <c r="B877" s="712">
        <v>40942</v>
      </c>
      <c r="C877" t="s">
        <v>2712</v>
      </c>
      <c r="D877" t="s">
        <v>2713</v>
      </c>
      <c r="E877" s="713" t="s">
        <v>2714</v>
      </c>
      <c r="G877" s="701">
        <v>1510</v>
      </c>
    </row>
    <row r="878" spans="2:7" x14ac:dyDescent="0.2">
      <c r="B878" s="712">
        <v>40942</v>
      </c>
      <c r="C878" t="s">
        <v>367</v>
      </c>
      <c r="D878"/>
      <c r="E878" t="s">
        <v>2707</v>
      </c>
      <c r="G878" s="701">
        <v>6990</v>
      </c>
    </row>
    <row r="879" spans="2:7" x14ac:dyDescent="0.2">
      <c r="B879" s="712">
        <v>40942</v>
      </c>
      <c r="D879" t="s">
        <v>2786</v>
      </c>
      <c r="E879" t="s">
        <v>1035</v>
      </c>
      <c r="G879" s="701">
        <v>700</v>
      </c>
    </row>
    <row r="880" spans="2:7" x14ac:dyDescent="0.2">
      <c r="B880" s="712">
        <v>40942</v>
      </c>
      <c r="D880" t="s">
        <v>3231</v>
      </c>
      <c r="E880" t="s">
        <v>2707</v>
      </c>
      <c r="G880" s="701">
        <v>380</v>
      </c>
    </row>
    <row r="881" spans="2:7" x14ac:dyDescent="0.2">
      <c r="B881" s="712">
        <v>40942</v>
      </c>
      <c r="C881" t="s">
        <v>3232</v>
      </c>
      <c r="D881" t="s">
        <v>3233</v>
      </c>
      <c r="E881" t="s">
        <v>1035</v>
      </c>
      <c r="G881" s="701">
        <v>3880</v>
      </c>
    </row>
    <row r="882" spans="2:7" x14ac:dyDescent="0.2">
      <c r="B882" s="712">
        <v>40942</v>
      </c>
      <c r="C882"/>
      <c r="D882" t="s">
        <v>2763</v>
      </c>
      <c r="E882" t="s">
        <v>2707</v>
      </c>
      <c r="G882" s="701">
        <v>1200</v>
      </c>
    </row>
    <row r="883" spans="2:7" x14ac:dyDescent="0.2">
      <c r="B883" s="712">
        <v>40942</v>
      </c>
      <c r="C883"/>
      <c r="D883" t="s">
        <v>3234</v>
      </c>
      <c r="E883" t="s">
        <v>1035</v>
      </c>
      <c r="G883" s="701">
        <v>5000</v>
      </c>
    </row>
    <row r="884" spans="2:7" x14ac:dyDescent="0.2">
      <c r="B884" s="712">
        <v>40943</v>
      </c>
      <c r="C884" t="s">
        <v>479</v>
      </c>
      <c r="D884"/>
      <c r="E884" t="s">
        <v>2719</v>
      </c>
      <c r="G884" s="701">
        <v>4655</v>
      </c>
    </row>
    <row r="885" spans="2:7" x14ac:dyDescent="0.2">
      <c r="B885" s="712">
        <v>40943</v>
      </c>
      <c r="C885" t="s">
        <v>2708</v>
      </c>
      <c r="D885" s="713" t="s">
        <v>2709</v>
      </c>
      <c r="E885" s="713" t="s">
        <v>2709</v>
      </c>
      <c r="G885" s="896">
        <v>1360</v>
      </c>
    </row>
    <row r="886" spans="2:7" x14ac:dyDescent="0.2">
      <c r="B886" s="712">
        <v>40943</v>
      </c>
      <c r="C886" t="s">
        <v>3240</v>
      </c>
      <c r="D886" t="s">
        <v>3238</v>
      </c>
      <c r="E886" t="s">
        <v>2705</v>
      </c>
      <c r="G886" s="701">
        <v>10000</v>
      </c>
    </row>
    <row r="887" spans="2:7" x14ac:dyDescent="0.2">
      <c r="B887" s="712">
        <v>40944</v>
      </c>
    </row>
    <row r="888" spans="2:7" x14ac:dyDescent="0.2">
      <c r="B888" s="712">
        <v>40945</v>
      </c>
      <c r="D888" t="s">
        <v>3235</v>
      </c>
      <c r="E888" s="713" t="s">
        <v>1035</v>
      </c>
      <c r="G888" s="701">
        <v>4000</v>
      </c>
    </row>
    <row r="889" spans="2:7" x14ac:dyDescent="0.2">
      <c r="B889" s="712">
        <v>40945</v>
      </c>
      <c r="C889" t="s">
        <v>2830</v>
      </c>
      <c r="D889" t="s">
        <v>3236</v>
      </c>
      <c r="E889" s="713" t="s">
        <v>1035</v>
      </c>
      <c r="G889" s="701">
        <v>1500</v>
      </c>
    </row>
    <row r="890" spans="2:7" x14ac:dyDescent="0.2">
      <c r="B890" s="712">
        <v>40945</v>
      </c>
      <c r="C890" t="s">
        <v>2830</v>
      </c>
      <c r="D890"/>
      <c r="E890" s="713" t="s">
        <v>2707</v>
      </c>
      <c r="G890" s="701">
        <v>3340</v>
      </c>
    </row>
    <row r="891" spans="2:7" x14ac:dyDescent="0.2">
      <c r="B891" s="712">
        <v>40946</v>
      </c>
    </row>
    <row r="892" spans="2:7" x14ac:dyDescent="0.2">
      <c r="B892" s="712">
        <v>40947</v>
      </c>
      <c r="C892" t="s">
        <v>367</v>
      </c>
      <c r="D892"/>
      <c r="E892" t="s">
        <v>2707</v>
      </c>
      <c r="G892" s="701">
        <v>5310</v>
      </c>
    </row>
    <row r="893" spans="2:7" x14ac:dyDescent="0.2">
      <c r="B893" s="712">
        <v>40947</v>
      </c>
      <c r="C893" t="s">
        <v>2708</v>
      </c>
      <c r="D893" s="713" t="s">
        <v>2709</v>
      </c>
      <c r="E893" s="713" t="s">
        <v>2709</v>
      </c>
      <c r="G893" s="896">
        <v>2000</v>
      </c>
    </row>
    <row r="894" spans="2:7" x14ac:dyDescent="0.2">
      <c r="B894" s="712">
        <v>40948</v>
      </c>
      <c r="C894" t="s">
        <v>2708</v>
      </c>
      <c r="D894" s="713" t="s">
        <v>2709</v>
      </c>
      <c r="E894" s="713" t="s">
        <v>2709</v>
      </c>
      <c r="G894" s="896">
        <v>2880</v>
      </c>
    </row>
    <row r="895" spans="2:7" x14ac:dyDescent="0.2">
      <c r="B895" s="712">
        <v>40948</v>
      </c>
      <c r="C895" t="s">
        <v>2830</v>
      </c>
      <c r="D895"/>
      <c r="E895" s="713" t="s">
        <v>2707</v>
      </c>
      <c r="G895" s="701">
        <v>1170</v>
      </c>
    </row>
    <row r="896" spans="2:7" x14ac:dyDescent="0.2">
      <c r="B896" s="712">
        <v>40948</v>
      </c>
      <c r="C896" t="s">
        <v>2712</v>
      </c>
      <c r="D896" t="s">
        <v>2713</v>
      </c>
      <c r="E896" s="713" t="s">
        <v>2714</v>
      </c>
      <c r="G896" s="701">
        <v>1770</v>
      </c>
    </row>
    <row r="897" spans="2:7" x14ac:dyDescent="0.2">
      <c r="B897" s="712">
        <v>40948</v>
      </c>
      <c r="C897" t="s">
        <v>2708</v>
      </c>
      <c r="D897" t="s">
        <v>3237</v>
      </c>
      <c r="E897" s="713" t="s">
        <v>2709</v>
      </c>
      <c r="G897" s="896">
        <v>6000</v>
      </c>
    </row>
    <row r="898" spans="2:7" x14ac:dyDescent="0.2">
      <c r="B898" s="712">
        <v>40949</v>
      </c>
      <c r="C898" t="s">
        <v>2708</v>
      </c>
      <c r="D898"/>
      <c r="E898" s="713" t="s">
        <v>2709</v>
      </c>
      <c r="G898" s="896">
        <v>3640</v>
      </c>
    </row>
    <row r="899" spans="2:7" x14ac:dyDescent="0.2">
      <c r="B899" s="712">
        <v>40949</v>
      </c>
      <c r="C899" t="s">
        <v>3228</v>
      </c>
      <c r="D899" t="s">
        <v>3238</v>
      </c>
      <c r="E899" t="s">
        <v>2705</v>
      </c>
      <c r="G899" s="701">
        <v>10000</v>
      </c>
    </row>
    <row r="900" spans="2:7" x14ac:dyDescent="0.2">
      <c r="B900" s="712">
        <v>40949</v>
      </c>
      <c r="C900" t="s">
        <v>367</v>
      </c>
      <c r="D900"/>
      <c r="E900" t="s">
        <v>2707</v>
      </c>
      <c r="G900" s="701">
        <v>9810</v>
      </c>
    </row>
    <row r="901" spans="2:7" x14ac:dyDescent="0.2">
      <c r="B901" s="712">
        <v>40949</v>
      </c>
      <c r="C901" t="s">
        <v>2758</v>
      </c>
      <c r="D901" t="s">
        <v>2759</v>
      </c>
      <c r="E901" s="713" t="s">
        <v>2707</v>
      </c>
      <c r="G901" s="701">
        <v>9200</v>
      </c>
    </row>
    <row r="902" spans="2:7" x14ac:dyDescent="0.2">
      <c r="B902" s="712">
        <v>40949</v>
      </c>
      <c r="C902" t="s">
        <v>3232</v>
      </c>
      <c r="D902" t="s">
        <v>3239</v>
      </c>
      <c r="E902" t="s">
        <v>1035</v>
      </c>
      <c r="G902" s="701">
        <v>2100</v>
      </c>
    </row>
    <row r="903" spans="2:7" x14ac:dyDescent="0.2">
      <c r="B903" s="712">
        <v>40949</v>
      </c>
      <c r="C903" t="s">
        <v>479</v>
      </c>
      <c r="D903" t="s">
        <v>3247</v>
      </c>
      <c r="E903" t="s">
        <v>1035</v>
      </c>
      <c r="G903" s="701">
        <v>1000</v>
      </c>
    </row>
    <row r="904" spans="2:7" x14ac:dyDescent="0.2">
      <c r="B904" s="712">
        <v>40950</v>
      </c>
    </row>
    <row r="905" spans="2:7" x14ac:dyDescent="0.2">
      <c r="B905" s="712">
        <v>40951</v>
      </c>
      <c r="D905" s="713" t="s">
        <v>3245</v>
      </c>
      <c r="E905" s="713" t="s">
        <v>1035</v>
      </c>
      <c r="G905" s="701">
        <v>5000</v>
      </c>
    </row>
    <row r="906" spans="2:7" x14ac:dyDescent="0.2">
      <c r="B906" s="712">
        <v>40952</v>
      </c>
      <c r="D906" s="713" t="s">
        <v>3246</v>
      </c>
      <c r="E906" s="713" t="s">
        <v>2722</v>
      </c>
      <c r="G906" s="701">
        <v>5500</v>
      </c>
    </row>
    <row r="907" spans="2:7" x14ac:dyDescent="0.2">
      <c r="B907" s="712">
        <v>40952</v>
      </c>
      <c r="C907" s="713" t="s">
        <v>2706</v>
      </c>
      <c r="D907" t="s">
        <v>2784</v>
      </c>
      <c r="E907" s="713" t="s">
        <v>2700</v>
      </c>
      <c r="G907" s="701">
        <v>5000</v>
      </c>
    </row>
    <row r="908" spans="2:7" x14ac:dyDescent="0.2">
      <c r="B908" s="712">
        <v>40952</v>
      </c>
      <c r="C908" t="s">
        <v>2708</v>
      </c>
      <c r="D908"/>
      <c r="E908" s="713" t="s">
        <v>2709</v>
      </c>
      <c r="G908" s="896">
        <v>25600</v>
      </c>
    </row>
    <row r="909" spans="2:7" x14ac:dyDescent="0.2">
      <c r="B909" s="712">
        <v>40953</v>
      </c>
      <c r="C909" t="s">
        <v>2712</v>
      </c>
      <c r="D909" t="s">
        <v>2713</v>
      </c>
      <c r="E909" s="713" t="s">
        <v>2714</v>
      </c>
      <c r="G909" s="701">
        <v>3000</v>
      </c>
    </row>
    <row r="910" spans="2:7" x14ac:dyDescent="0.2">
      <c r="B910" s="712">
        <v>40954</v>
      </c>
    </row>
    <row r="911" spans="2:7" x14ac:dyDescent="0.2">
      <c r="B911" s="712">
        <v>40955</v>
      </c>
      <c r="C911" t="s">
        <v>2849</v>
      </c>
      <c r="D911" t="s">
        <v>3251</v>
      </c>
      <c r="E911" s="713" t="s">
        <v>1035</v>
      </c>
      <c r="G911" s="701">
        <v>4885</v>
      </c>
    </row>
    <row r="912" spans="2:7" x14ac:dyDescent="0.2">
      <c r="B912" s="712">
        <v>40955</v>
      </c>
      <c r="D912" t="s">
        <v>3252</v>
      </c>
      <c r="E912" s="713" t="s">
        <v>1035</v>
      </c>
      <c r="G912" s="701">
        <v>4790</v>
      </c>
    </row>
    <row r="913" spans="2:7" x14ac:dyDescent="0.2">
      <c r="B913" s="712">
        <v>40955</v>
      </c>
      <c r="C913" t="s">
        <v>2849</v>
      </c>
      <c r="D913" t="s">
        <v>3253</v>
      </c>
      <c r="E913" s="713" t="s">
        <v>2722</v>
      </c>
      <c r="G913" s="701">
        <v>3480</v>
      </c>
    </row>
    <row r="914" spans="2:7" x14ac:dyDescent="0.2">
      <c r="B914" s="712">
        <v>40955</v>
      </c>
      <c r="D914" t="s">
        <v>3254</v>
      </c>
      <c r="E914" s="713" t="s">
        <v>1035</v>
      </c>
      <c r="G914" s="701">
        <v>1900</v>
      </c>
    </row>
    <row r="915" spans="2:7" x14ac:dyDescent="0.2">
      <c r="B915" s="712">
        <v>40956</v>
      </c>
      <c r="C915" t="s">
        <v>367</v>
      </c>
      <c r="D915"/>
      <c r="E915" t="s">
        <v>2707</v>
      </c>
      <c r="G915" s="701">
        <v>17590</v>
      </c>
    </row>
    <row r="916" spans="2:7" x14ac:dyDescent="0.2">
      <c r="B916" s="712">
        <v>40956</v>
      </c>
      <c r="C916" t="s">
        <v>367</v>
      </c>
      <c r="D916" t="s">
        <v>3176</v>
      </c>
      <c r="E916" t="s">
        <v>1035</v>
      </c>
      <c r="G916" s="701">
        <v>5290</v>
      </c>
    </row>
    <row r="917" spans="2:7" x14ac:dyDescent="0.2">
      <c r="B917" s="712">
        <v>40956</v>
      </c>
      <c r="C917" t="s">
        <v>3248</v>
      </c>
      <c r="D917" t="s">
        <v>3249</v>
      </c>
      <c r="E917" s="713" t="s">
        <v>3078</v>
      </c>
      <c r="G917" s="701">
        <v>2425</v>
      </c>
    </row>
    <row r="918" spans="2:7" x14ac:dyDescent="0.2">
      <c r="B918" s="712">
        <v>40956</v>
      </c>
      <c r="C918" t="s">
        <v>2758</v>
      </c>
      <c r="D918" t="s">
        <v>2759</v>
      </c>
      <c r="E918" s="713" t="s">
        <v>2707</v>
      </c>
      <c r="G918" s="701">
        <v>2495</v>
      </c>
    </row>
    <row r="919" spans="2:7" x14ac:dyDescent="0.2">
      <c r="B919" s="712">
        <v>40956</v>
      </c>
      <c r="C919" t="s">
        <v>3250</v>
      </c>
      <c r="D919"/>
      <c r="E919" s="713" t="s">
        <v>1035</v>
      </c>
      <c r="G919" s="701">
        <v>500</v>
      </c>
    </row>
    <row r="920" spans="2:7" x14ac:dyDescent="0.2">
      <c r="B920" s="712">
        <v>40957</v>
      </c>
      <c r="C920" t="s">
        <v>2708</v>
      </c>
      <c r="D920"/>
      <c r="E920" s="713" t="s">
        <v>2709</v>
      </c>
      <c r="G920" s="896">
        <v>2300</v>
      </c>
    </row>
    <row r="921" spans="2:7" x14ac:dyDescent="0.2">
      <c r="B921" s="712">
        <v>40957</v>
      </c>
      <c r="C921" t="s">
        <v>2712</v>
      </c>
      <c r="D921" t="s">
        <v>2713</v>
      </c>
      <c r="E921" s="713" t="s">
        <v>2714</v>
      </c>
      <c r="G921" s="701">
        <v>2800</v>
      </c>
    </row>
    <row r="922" spans="2:7" x14ac:dyDescent="0.2">
      <c r="B922" s="712">
        <v>40957</v>
      </c>
      <c r="C922"/>
      <c r="D922"/>
      <c r="E922" t="s">
        <v>2748</v>
      </c>
      <c r="G922" s="896">
        <v>1200</v>
      </c>
    </row>
    <row r="923" spans="2:7" x14ac:dyDescent="0.2">
      <c r="B923" s="712">
        <v>40958</v>
      </c>
      <c r="C923" s="713" t="s">
        <v>2706</v>
      </c>
      <c r="D923" t="s">
        <v>2784</v>
      </c>
      <c r="E923" s="713" t="s">
        <v>2700</v>
      </c>
      <c r="G923" s="701">
        <v>10000</v>
      </c>
    </row>
    <row r="924" spans="2:7" x14ac:dyDescent="0.2">
      <c r="B924" s="712">
        <v>40959</v>
      </c>
    </row>
    <row r="925" spans="2:7" x14ac:dyDescent="0.2">
      <c r="B925" s="712">
        <v>40960</v>
      </c>
      <c r="C925" t="s">
        <v>1675</v>
      </c>
      <c r="D925"/>
      <c r="E925" t="s">
        <v>2707</v>
      </c>
      <c r="G925" s="701">
        <v>5630</v>
      </c>
    </row>
    <row r="926" spans="2:7" x14ac:dyDescent="0.2">
      <c r="B926" s="712">
        <v>40961</v>
      </c>
      <c r="C926" t="s">
        <v>479</v>
      </c>
      <c r="D926"/>
      <c r="E926" t="s">
        <v>2719</v>
      </c>
      <c r="G926" s="701">
        <v>2905</v>
      </c>
    </row>
    <row r="927" spans="2:7" x14ac:dyDescent="0.2">
      <c r="B927" s="712">
        <v>40961</v>
      </c>
      <c r="C927" t="s">
        <v>3255</v>
      </c>
      <c r="D927" t="s">
        <v>2763</v>
      </c>
      <c r="E927" t="s">
        <v>2707</v>
      </c>
      <c r="G927" s="701">
        <v>1200</v>
      </c>
    </row>
    <row r="928" spans="2:7" x14ac:dyDescent="0.2">
      <c r="B928" s="712">
        <v>40961</v>
      </c>
      <c r="C928"/>
      <c r="D928" t="s">
        <v>3256</v>
      </c>
      <c r="E928" t="s">
        <v>2707</v>
      </c>
      <c r="G928" s="701">
        <v>1390</v>
      </c>
    </row>
    <row r="929" spans="2:7" x14ac:dyDescent="0.2">
      <c r="B929" s="712">
        <v>40962</v>
      </c>
      <c r="C929" t="s">
        <v>2830</v>
      </c>
      <c r="D929"/>
      <c r="E929" s="713" t="s">
        <v>2707</v>
      </c>
      <c r="G929" s="701">
        <v>4915</v>
      </c>
    </row>
    <row r="930" spans="2:7" x14ac:dyDescent="0.2">
      <c r="B930" s="712">
        <v>40962</v>
      </c>
      <c r="C930" t="s">
        <v>2708</v>
      </c>
      <c r="D930"/>
      <c r="E930" s="713" t="s">
        <v>2709</v>
      </c>
      <c r="G930" s="896">
        <v>1070</v>
      </c>
    </row>
    <row r="931" spans="2:7" x14ac:dyDescent="0.2">
      <c r="B931" s="712">
        <v>40962</v>
      </c>
      <c r="C931" t="s">
        <v>2712</v>
      </c>
      <c r="D931" t="s">
        <v>2713</v>
      </c>
      <c r="E931" s="713" t="s">
        <v>2714</v>
      </c>
      <c r="G931" s="701">
        <v>930</v>
      </c>
    </row>
    <row r="932" spans="2:7" x14ac:dyDescent="0.2">
      <c r="B932" s="712">
        <v>40963</v>
      </c>
      <c r="C932" t="s">
        <v>2712</v>
      </c>
      <c r="D932" t="s">
        <v>2713</v>
      </c>
      <c r="E932" s="713" t="s">
        <v>2714</v>
      </c>
      <c r="G932" s="701">
        <v>2205</v>
      </c>
    </row>
    <row r="933" spans="2:7" x14ac:dyDescent="0.2">
      <c r="B933" s="712">
        <v>40963</v>
      </c>
      <c r="C933" t="s">
        <v>367</v>
      </c>
      <c r="D933"/>
      <c r="E933" t="s">
        <v>2707</v>
      </c>
      <c r="G933" s="701">
        <v>3270</v>
      </c>
    </row>
    <row r="934" spans="2:7" x14ac:dyDescent="0.2">
      <c r="B934" s="712">
        <v>40963</v>
      </c>
      <c r="C934" t="s">
        <v>2708</v>
      </c>
      <c r="D934"/>
      <c r="E934" s="713" t="s">
        <v>2709</v>
      </c>
      <c r="G934" s="896">
        <v>2895</v>
      </c>
    </row>
    <row r="935" spans="2:7" x14ac:dyDescent="0.2">
      <c r="B935" s="712">
        <v>40964</v>
      </c>
      <c r="C935" t="s">
        <v>2708</v>
      </c>
      <c r="D935"/>
      <c r="E935" s="713" t="s">
        <v>2709</v>
      </c>
      <c r="G935" s="896">
        <v>2915</v>
      </c>
    </row>
    <row r="936" spans="2:7" x14ac:dyDescent="0.2">
      <c r="B936" s="712">
        <v>40965</v>
      </c>
      <c r="C936" t="s">
        <v>2708</v>
      </c>
      <c r="D936"/>
      <c r="E936" s="713" t="s">
        <v>2709</v>
      </c>
      <c r="G936" s="896">
        <v>5260</v>
      </c>
    </row>
    <row r="937" spans="2:7" x14ac:dyDescent="0.2">
      <c r="B937" s="712">
        <v>40965</v>
      </c>
      <c r="C937" t="s">
        <v>367</v>
      </c>
      <c r="D937"/>
      <c r="E937" t="s">
        <v>2707</v>
      </c>
      <c r="G937" s="701">
        <v>1490</v>
      </c>
    </row>
    <row r="938" spans="2:7" x14ac:dyDescent="0.2">
      <c r="B938" s="712">
        <v>40966</v>
      </c>
      <c r="C938" t="s">
        <v>2708</v>
      </c>
      <c r="D938"/>
      <c r="E938" s="713" t="s">
        <v>2709</v>
      </c>
      <c r="G938" s="896">
        <v>2820</v>
      </c>
    </row>
    <row r="939" spans="2:7" x14ac:dyDescent="0.2">
      <c r="B939" s="712">
        <v>40967</v>
      </c>
      <c r="D939" t="s">
        <v>3259</v>
      </c>
      <c r="E939" s="713" t="s">
        <v>1035</v>
      </c>
      <c r="G939" s="701">
        <v>940</v>
      </c>
    </row>
    <row r="940" spans="2:7" x14ac:dyDescent="0.2">
      <c r="B940" s="712">
        <v>40968</v>
      </c>
      <c r="C940" s="713" t="s">
        <v>2706</v>
      </c>
      <c r="D940" t="s">
        <v>2784</v>
      </c>
      <c r="E940" s="713" t="s">
        <v>2700</v>
      </c>
      <c r="G940" s="701">
        <v>10000</v>
      </c>
    </row>
    <row r="941" spans="2:7" x14ac:dyDescent="0.2">
      <c r="B941" s="712">
        <v>40968</v>
      </c>
      <c r="D941" t="s">
        <v>3258</v>
      </c>
      <c r="E941" s="713" t="s">
        <v>3078</v>
      </c>
      <c r="G941" s="701">
        <v>51000</v>
      </c>
    </row>
    <row r="942" spans="2:7" x14ac:dyDescent="0.2">
      <c r="B942" s="712">
        <v>40968</v>
      </c>
      <c r="D942" t="s">
        <v>2840</v>
      </c>
      <c r="E942" s="713" t="s">
        <v>1035</v>
      </c>
      <c r="G942" s="701">
        <v>4230</v>
      </c>
    </row>
    <row r="943" spans="2:7" x14ac:dyDescent="0.2">
      <c r="B943" s="712">
        <v>40968</v>
      </c>
      <c r="D943" t="s">
        <v>2684</v>
      </c>
      <c r="E943" s="713" t="s">
        <v>1035</v>
      </c>
      <c r="G943" s="701">
        <v>11500</v>
      </c>
    </row>
    <row r="944" spans="2:7" x14ac:dyDescent="0.2">
      <c r="B944" s="712">
        <v>40968</v>
      </c>
      <c r="C944" t="s">
        <v>367</v>
      </c>
      <c r="D944"/>
      <c r="E944" t="s">
        <v>2707</v>
      </c>
      <c r="G944" s="701">
        <v>9200</v>
      </c>
    </row>
    <row r="945" spans="2:7" x14ac:dyDescent="0.2">
      <c r="B945" s="712">
        <v>40968</v>
      </c>
      <c r="C945" t="s">
        <v>3228</v>
      </c>
      <c r="D945" t="s">
        <v>3238</v>
      </c>
      <c r="E945" t="s">
        <v>2705</v>
      </c>
      <c r="G945" s="701">
        <v>10000</v>
      </c>
    </row>
    <row r="946" spans="2:7" x14ac:dyDescent="0.2">
      <c r="B946" s="712">
        <v>40969</v>
      </c>
      <c r="C946" t="s">
        <v>2708</v>
      </c>
      <c r="D946"/>
      <c r="E946" s="713" t="s">
        <v>2709</v>
      </c>
      <c r="G946" s="896">
        <v>3080</v>
      </c>
    </row>
    <row r="947" spans="2:7" x14ac:dyDescent="0.2">
      <c r="B947" s="712">
        <v>40969</v>
      </c>
      <c r="C947"/>
      <c r="D947" t="s">
        <v>3030</v>
      </c>
      <c r="E947" s="713" t="s">
        <v>1035</v>
      </c>
      <c r="G947" s="896">
        <v>1400</v>
      </c>
    </row>
    <row r="948" spans="2:7" x14ac:dyDescent="0.2">
      <c r="B948" s="712">
        <v>40969</v>
      </c>
      <c r="C948"/>
      <c r="D948" t="s">
        <v>3260</v>
      </c>
      <c r="E948" s="713" t="s">
        <v>1035</v>
      </c>
      <c r="G948" s="896">
        <v>1000</v>
      </c>
    </row>
    <row r="949" spans="2:7" x14ac:dyDescent="0.2">
      <c r="B949" s="712">
        <v>40969</v>
      </c>
      <c r="C949"/>
      <c r="D949" t="s">
        <v>3261</v>
      </c>
      <c r="E949" s="713" t="s">
        <v>1035</v>
      </c>
      <c r="G949" s="896">
        <v>400</v>
      </c>
    </row>
    <row r="950" spans="2:7" x14ac:dyDescent="0.2">
      <c r="B950" s="712">
        <v>40970</v>
      </c>
      <c r="C950"/>
      <c r="D950"/>
      <c r="E950" t="s">
        <v>2707</v>
      </c>
      <c r="G950" s="701">
        <v>2620</v>
      </c>
    </row>
    <row r="951" spans="2:7" x14ac:dyDescent="0.2">
      <c r="B951" s="712">
        <v>40970</v>
      </c>
      <c r="C951" t="s">
        <v>2708</v>
      </c>
      <c r="D951"/>
      <c r="E951" s="713" t="s">
        <v>2709</v>
      </c>
      <c r="G951" s="896">
        <v>2945</v>
      </c>
    </row>
    <row r="952" spans="2:7" x14ac:dyDescent="0.2">
      <c r="B952" s="712">
        <v>40970</v>
      </c>
      <c r="C952" t="s">
        <v>3272</v>
      </c>
      <c r="D952" t="s">
        <v>2875</v>
      </c>
      <c r="E952" s="713" t="s">
        <v>2750</v>
      </c>
      <c r="G952" s="896">
        <v>15400</v>
      </c>
    </row>
    <row r="953" spans="2:7" x14ac:dyDescent="0.2">
      <c r="B953" s="712">
        <v>40971</v>
      </c>
      <c r="C953" t="s">
        <v>2712</v>
      </c>
      <c r="D953" t="s">
        <v>2713</v>
      </c>
      <c r="E953" s="713" t="s">
        <v>2714</v>
      </c>
      <c r="G953" s="701">
        <v>2985</v>
      </c>
    </row>
    <row r="954" spans="2:7" x14ac:dyDescent="0.2">
      <c r="B954" s="712">
        <v>40971</v>
      </c>
      <c r="C954" t="s">
        <v>479</v>
      </c>
      <c r="D954"/>
      <c r="E954" t="s">
        <v>2719</v>
      </c>
      <c r="G954" s="701">
        <v>890</v>
      </c>
    </row>
    <row r="955" spans="2:7" x14ac:dyDescent="0.2">
      <c r="B955" s="712">
        <v>40971</v>
      </c>
      <c r="C955" t="s">
        <v>367</v>
      </c>
      <c r="D955"/>
      <c r="E955" t="s">
        <v>2707</v>
      </c>
      <c r="G955" s="701">
        <v>4280</v>
      </c>
    </row>
    <row r="956" spans="2:7" x14ac:dyDescent="0.2">
      <c r="B956" s="712">
        <v>40972</v>
      </c>
      <c r="C956" t="s">
        <v>367</v>
      </c>
      <c r="D956"/>
      <c r="E956" t="s">
        <v>2707</v>
      </c>
      <c r="G956" s="701">
        <v>1850</v>
      </c>
    </row>
    <row r="957" spans="2:7" x14ac:dyDescent="0.2">
      <c r="B957" s="712">
        <v>40973</v>
      </c>
      <c r="C957" t="s">
        <v>2708</v>
      </c>
      <c r="D957"/>
      <c r="E957" s="713" t="s">
        <v>2709</v>
      </c>
      <c r="G957" s="896">
        <v>540</v>
      </c>
    </row>
    <row r="958" spans="2:7" x14ac:dyDescent="0.2">
      <c r="B958" s="712">
        <v>40973</v>
      </c>
      <c r="C958"/>
      <c r="D958" t="s">
        <v>2786</v>
      </c>
      <c r="E958" s="713" t="s">
        <v>1035</v>
      </c>
      <c r="G958" s="896">
        <v>1100</v>
      </c>
    </row>
    <row r="959" spans="2:7" x14ac:dyDescent="0.2">
      <c r="B959" s="712">
        <v>40974</v>
      </c>
      <c r="C959" s="713" t="s">
        <v>2706</v>
      </c>
      <c r="D959" t="s">
        <v>2784</v>
      </c>
      <c r="E959" s="713" t="s">
        <v>2700</v>
      </c>
      <c r="G959" s="701">
        <v>5000</v>
      </c>
    </row>
    <row r="960" spans="2:7" x14ac:dyDescent="0.2">
      <c r="B960" s="712">
        <v>40974</v>
      </c>
      <c r="C960" t="s">
        <v>367</v>
      </c>
      <c r="D960"/>
      <c r="E960" t="s">
        <v>2707</v>
      </c>
      <c r="G960" s="701">
        <v>2640</v>
      </c>
    </row>
    <row r="961" spans="2:7" x14ac:dyDescent="0.2">
      <c r="B961" s="712">
        <v>40974</v>
      </c>
      <c r="C961"/>
      <c r="D961" t="s">
        <v>3262</v>
      </c>
      <c r="E961" t="s">
        <v>1035</v>
      </c>
      <c r="G961" s="701">
        <v>1200</v>
      </c>
    </row>
    <row r="962" spans="2:7" x14ac:dyDescent="0.2">
      <c r="B962" s="712">
        <v>40975</v>
      </c>
      <c r="D962" t="s">
        <v>3263</v>
      </c>
      <c r="E962" t="s">
        <v>1035</v>
      </c>
      <c r="G962" s="701">
        <v>540</v>
      </c>
    </row>
    <row r="963" spans="2:7" x14ac:dyDescent="0.2">
      <c r="B963" s="712">
        <v>40975</v>
      </c>
      <c r="C963" t="s">
        <v>2830</v>
      </c>
      <c r="D963"/>
      <c r="E963" t="s">
        <v>2707</v>
      </c>
      <c r="G963" s="701">
        <v>845</v>
      </c>
    </row>
    <row r="964" spans="2:7" x14ac:dyDescent="0.2">
      <c r="B964" s="712">
        <v>40976</v>
      </c>
      <c r="D964" t="s">
        <v>2748</v>
      </c>
      <c r="E964" t="s">
        <v>1035</v>
      </c>
      <c r="G964" s="701">
        <v>1140</v>
      </c>
    </row>
    <row r="965" spans="2:7" x14ac:dyDescent="0.2">
      <c r="B965" s="712">
        <v>40976</v>
      </c>
      <c r="D965" t="s">
        <v>3109</v>
      </c>
      <c r="E965" t="s">
        <v>1035</v>
      </c>
      <c r="G965" s="701">
        <v>1100</v>
      </c>
    </row>
    <row r="966" spans="2:7" x14ac:dyDescent="0.2">
      <c r="B966" s="712">
        <v>40977</v>
      </c>
      <c r="C966" t="s">
        <v>2708</v>
      </c>
      <c r="D966"/>
      <c r="E966" s="713" t="s">
        <v>2709</v>
      </c>
      <c r="G966" s="896">
        <v>1590</v>
      </c>
    </row>
    <row r="967" spans="2:7" x14ac:dyDescent="0.2">
      <c r="B967" s="712">
        <v>40977</v>
      </c>
      <c r="C967" t="s">
        <v>1960</v>
      </c>
      <c r="D967"/>
      <c r="E967" s="713" t="s">
        <v>2750</v>
      </c>
      <c r="G967" s="896">
        <v>12515</v>
      </c>
    </row>
    <row r="968" spans="2:7" x14ac:dyDescent="0.2">
      <c r="B968" s="712">
        <v>40977</v>
      </c>
      <c r="C968"/>
      <c r="D968" t="s">
        <v>2877</v>
      </c>
      <c r="E968" s="713" t="s">
        <v>2722</v>
      </c>
      <c r="G968" s="896">
        <v>2500</v>
      </c>
    </row>
    <row r="969" spans="2:7" x14ac:dyDescent="0.2">
      <c r="B969" s="712">
        <v>40977</v>
      </c>
      <c r="C969" t="s">
        <v>3248</v>
      </c>
      <c r="D969" t="s">
        <v>3264</v>
      </c>
      <c r="E969" s="713" t="s">
        <v>3078</v>
      </c>
      <c r="G969" s="701">
        <v>3125</v>
      </c>
    </row>
    <row r="970" spans="2:7" x14ac:dyDescent="0.2">
      <c r="B970" s="712">
        <v>40978</v>
      </c>
      <c r="C970" t="s">
        <v>367</v>
      </c>
      <c r="D970"/>
      <c r="E970" t="s">
        <v>2707</v>
      </c>
      <c r="G970" s="701">
        <v>8115</v>
      </c>
    </row>
    <row r="971" spans="2:7" x14ac:dyDescent="0.2">
      <c r="B971" s="712">
        <v>40978</v>
      </c>
      <c r="C971"/>
      <c r="D971" t="s">
        <v>2786</v>
      </c>
      <c r="E971" s="713" t="s">
        <v>1035</v>
      </c>
      <c r="G971" s="896">
        <v>520</v>
      </c>
    </row>
    <row r="972" spans="2:7" x14ac:dyDescent="0.2">
      <c r="B972" s="712">
        <v>40978</v>
      </c>
      <c r="C972"/>
      <c r="D972" t="s">
        <v>789</v>
      </c>
      <c r="E972" t="s">
        <v>1035</v>
      </c>
      <c r="G972" s="896">
        <v>935</v>
      </c>
    </row>
    <row r="973" spans="2:7" x14ac:dyDescent="0.2">
      <c r="B973" s="712">
        <v>40979</v>
      </c>
    </row>
    <row r="974" spans="2:7" x14ac:dyDescent="0.2">
      <c r="B974" s="712">
        <v>40980</v>
      </c>
      <c r="C974" t="s">
        <v>367</v>
      </c>
      <c r="D974"/>
      <c r="E974" t="s">
        <v>2707</v>
      </c>
      <c r="G974" s="701">
        <v>2345</v>
      </c>
    </row>
    <row r="975" spans="2:7" x14ac:dyDescent="0.2">
      <c r="B975" s="712">
        <v>40980</v>
      </c>
      <c r="C975" s="713" t="s">
        <v>2706</v>
      </c>
      <c r="D975" t="s">
        <v>2784</v>
      </c>
      <c r="E975" s="713" t="s">
        <v>2700</v>
      </c>
      <c r="G975" s="701">
        <v>10000</v>
      </c>
    </row>
    <row r="976" spans="2:7" x14ac:dyDescent="0.2">
      <c r="B976" s="712">
        <v>40980</v>
      </c>
      <c r="C976" t="s">
        <v>3036</v>
      </c>
      <c r="D976"/>
      <c r="E976" t="s">
        <v>2707</v>
      </c>
      <c r="G976" s="701">
        <v>335</v>
      </c>
    </row>
    <row r="977" spans="2:7" x14ac:dyDescent="0.2">
      <c r="B977" s="712">
        <v>40980</v>
      </c>
      <c r="C977"/>
      <c r="D977" t="s">
        <v>3265</v>
      </c>
      <c r="E977" t="s">
        <v>2707</v>
      </c>
      <c r="G977" s="701">
        <v>400</v>
      </c>
    </row>
    <row r="978" spans="2:7" x14ac:dyDescent="0.2">
      <c r="B978" s="712">
        <v>40980</v>
      </c>
      <c r="C978"/>
      <c r="D978" t="s">
        <v>2843</v>
      </c>
      <c r="E978" s="713" t="s">
        <v>3078</v>
      </c>
      <c r="G978" s="701">
        <v>1525</v>
      </c>
    </row>
    <row r="979" spans="2:7" x14ac:dyDescent="0.2">
      <c r="B979" s="712">
        <v>40981</v>
      </c>
      <c r="C979"/>
      <c r="D979"/>
      <c r="E979" t="s">
        <v>2707</v>
      </c>
      <c r="G979" s="701">
        <v>690</v>
      </c>
    </row>
    <row r="980" spans="2:7" x14ac:dyDescent="0.2">
      <c r="B980" s="712">
        <v>40981</v>
      </c>
      <c r="C980"/>
      <c r="D980" t="s">
        <v>2790</v>
      </c>
      <c r="E980" t="s">
        <v>1035</v>
      </c>
      <c r="G980" s="701">
        <v>6500</v>
      </c>
    </row>
    <row r="981" spans="2:7" x14ac:dyDescent="0.2">
      <c r="B981" s="712">
        <v>40981</v>
      </c>
      <c r="C981"/>
      <c r="D981" t="s">
        <v>3266</v>
      </c>
      <c r="E981" t="s">
        <v>1035</v>
      </c>
      <c r="G981" s="701">
        <v>3500</v>
      </c>
    </row>
    <row r="982" spans="2:7" x14ac:dyDescent="0.2">
      <c r="B982" s="712">
        <v>40982</v>
      </c>
      <c r="E982" t="s">
        <v>2724</v>
      </c>
      <c r="G982" s="701">
        <v>1300</v>
      </c>
    </row>
    <row r="983" spans="2:7" x14ac:dyDescent="0.2">
      <c r="B983" s="712">
        <v>40982</v>
      </c>
      <c r="D983" s="713" t="s">
        <v>3183</v>
      </c>
      <c r="E983" t="s">
        <v>1035</v>
      </c>
      <c r="G983" s="701">
        <v>20000</v>
      </c>
    </row>
    <row r="984" spans="2:7" x14ac:dyDescent="0.2">
      <c r="B984" s="712">
        <v>40982</v>
      </c>
      <c r="D984" t="s">
        <v>3267</v>
      </c>
      <c r="E984" t="s">
        <v>2722</v>
      </c>
      <c r="G984" s="701">
        <v>1980</v>
      </c>
    </row>
    <row r="985" spans="2:7" x14ac:dyDescent="0.2">
      <c r="B985" s="712">
        <v>40982</v>
      </c>
      <c r="D985" t="s">
        <v>2927</v>
      </c>
      <c r="E985" t="s">
        <v>1035</v>
      </c>
      <c r="G985" s="701">
        <v>1290</v>
      </c>
    </row>
    <row r="986" spans="2:7" x14ac:dyDescent="0.2">
      <c r="B986" s="712">
        <v>40982</v>
      </c>
      <c r="C986" t="s">
        <v>367</v>
      </c>
      <c r="E986" t="s">
        <v>2707</v>
      </c>
      <c r="G986" s="701">
        <f>4080-1290</f>
        <v>2790</v>
      </c>
    </row>
    <row r="987" spans="2:7" x14ac:dyDescent="0.2">
      <c r="B987" s="712">
        <v>40982</v>
      </c>
      <c r="C987" t="s">
        <v>2708</v>
      </c>
      <c r="D987"/>
      <c r="E987" s="713" t="s">
        <v>2709</v>
      </c>
      <c r="G987" s="896">
        <v>1520</v>
      </c>
    </row>
    <row r="988" spans="2:7" x14ac:dyDescent="0.2">
      <c r="B988" s="712">
        <v>40982</v>
      </c>
      <c r="D988" t="s">
        <v>3128</v>
      </c>
      <c r="E988" s="713" t="s">
        <v>1035</v>
      </c>
      <c r="G988" s="701">
        <v>1500</v>
      </c>
    </row>
    <row r="989" spans="2:7" x14ac:dyDescent="0.2">
      <c r="B989" s="712">
        <v>40982</v>
      </c>
      <c r="D989" t="s">
        <v>3268</v>
      </c>
      <c r="E989" s="713" t="s">
        <v>1035</v>
      </c>
      <c r="G989" s="701">
        <v>1630</v>
      </c>
    </row>
    <row r="990" spans="2:7" x14ac:dyDescent="0.2">
      <c r="B990" s="712">
        <v>40982</v>
      </c>
      <c r="C990" t="s">
        <v>479</v>
      </c>
      <c r="E990" s="713" t="s">
        <v>2719</v>
      </c>
      <c r="G990" s="701">
        <v>6475</v>
      </c>
    </row>
    <row r="991" spans="2:7" x14ac:dyDescent="0.2">
      <c r="B991" s="712">
        <v>40982</v>
      </c>
      <c r="C991" t="s">
        <v>2712</v>
      </c>
      <c r="D991" t="s">
        <v>2713</v>
      </c>
      <c r="E991" s="713" t="s">
        <v>2714</v>
      </c>
      <c r="G991" s="701">
        <v>2460</v>
      </c>
    </row>
    <row r="992" spans="2:7" x14ac:dyDescent="0.2">
      <c r="B992" s="712">
        <v>40982</v>
      </c>
      <c r="C992" t="s">
        <v>367</v>
      </c>
      <c r="E992" t="s">
        <v>2707</v>
      </c>
      <c r="G992" s="701">
        <v>11380</v>
      </c>
    </row>
    <row r="993" spans="2:7" x14ac:dyDescent="0.2">
      <c r="B993" s="712">
        <v>40983</v>
      </c>
      <c r="E993"/>
    </row>
    <row r="994" spans="2:7" x14ac:dyDescent="0.2">
      <c r="B994" s="712">
        <v>40984</v>
      </c>
      <c r="D994" t="s">
        <v>3269</v>
      </c>
      <c r="E994" t="s">
        <v>1035</v>
      </c>
      <c r="G994" s="701">
        <v>6400</v>
      </c>
    </row>
    <row r="995" spans="2:7" x14ac:dyDescent="0.2">
      <c r="B995" s="712">
        <v>40984</v>
      </c>
      <c r="D995" t="s">
        <v>3270</v>
      </c>
      <c r="E995" t="s">
        <v>1035</v>
      </c>
      <c r="G995" s="701">
        <v>3900</v>
      </c>
    </row>
    <row r="996" spans="2:7" x14ac:dyDescent="0.2">
      <c r="B996" s="712">
        <v>40984</v>
      </c>
      <c r="D996" t="s">
        <v>3271</v>
      </c>
      <c r="E996" t="s">
        <v>2707</v>
      </c>
      <c r="G996" s="701">
        <v>1450</v>
      </c>
    </row>
    <row r="997" spans="2:7" x14ac:dyDescent="0.2">
      <c r="B997" s="712">
        <v>40984</v>
      </c>
      <c r="D997" t="s">
        <v>3194</v>
      </c>
      <c r="E997" t="s">
        <v>2707</v>
      </c>
      <c r="G997" s="701">
        <v>1500</v>
      </c>
    </row>
    <row r="998" spans="2:7" x14ac:dyDescent="0.2">
      <c r="B998" s="712">
        <v>40985</v>
      </c>
      <c r="C998" t="s">
        <v>367</v>
      </c>
      <c r="E998" t="s">
        <v>2707</v>
      </c>
      <c r="G998" s="701">
        <v>3940</v>
      </c>
    </row>
    <row r="999" spans="2:7" x14ac:dyDescent="0.2">
      <c r="B999" s="712">
        <v>40986</v>
      </c>
      <c r="C999" s="691"/>
      <c r="D999" s="691"/>
      <c r="E999" s="713" t="s">
        <v>2707</v>
      </c>
      <c r="G999" s="701">
        <v>650</v>
      </c>
    </row>
    <row r="1000" spans="2:7" x14ac:dyDescent="0.2">
      <c r="B1000" s="712">
        <v>40986</v>
      </c>
      <c r="C1000" t="s">
        <v>2712</v>
      </c>
      <c r="D1000" t="s">
        <v>2713</v>
      </c>
      <c r="E1000" s="713" t="s">
        <v>2714</v>
      </c>
      <c r="G1000" s="701">
        <v>1215</v>
      </c>
    </row>
    <row r="1001" spans="2:7" x14ac:dyDescent="0.2">
      <c r="B1001" s="712">
        <v>40987</v>
      </c>
    </row>
    <row r="1002" spans="2:7" x14ac:dyDescent="0.2">
      <c r="B1002" s="712">
        <v>40988</v>
      </c>
      <c r="C1002" t="s">
        <v>2758</v>
      </c>
      <c r="D1002" t="s">
        <v>2759</v>
      </c>
      <c r="E1002" s="713" t="s">
        <v>2707</v>
      </c>
      <c r="G1002" s="701">
        <v>6580</v>
      </c>
    </row>
    <row r="1003" spans="2:7" x14ac:dyDescent="0.2">
      <c r="B1003" s="712">
        <v>40988</v>
      </c>
      <c r="C1003" t="s">
        <v>2712</v>
      </c>
      <c r="D1003" t="s">
        <v>2713</v>
      </c>
      <c r="E1003" s="713" t="s">
        <v>2714</v>
      </c>
      <c r="G1003" s="701">
        <v>2700</v>
      </c>
    </row>
    <row r="1004" spans="2:7" x14ac:dyDescent="0.2">
      <c r="B1004" s="712">
        <v>40988</v>
      </c>
      <c r="C1004" t="s">
        <v>367</v>
      </c>
      <c r="E1004" t="s">
        <v>2707</v>
      </c>
      <c r="G1004" s="701">
        <v>5795</v>
      </c>
    </row>
    <row r="1005" spans="2:7" x14ac:dyDescent="0.2">
      <c r="B1005" s="712">
        <v>40989</v>
      </c>
      <c r="D1005" s="713" t="s">
        <v>3273</v>
      </c>
      <c r="E1005" t="s">
        <v>1035</v>
      </c>
      <c r="G1005" s="701">
        <v>3240</v>
      </c>
    </row>
    <row r="1006" spans="2:7" x14ac:dyDescent="0.2">
      <c r="B1006" s="712">
        <v>40990</v>
      </c>
      <c r="D1006" s="713" t="s">
        <v>2833</v>
      </c>
      <c r="E1006" t="s">
        <v>1035</v>
      </c>
      <c r="G1006" s="701">
        <v>2000</v>
      </c>
    </row>
    <row r="1007" spans="2:7" x14ac:dyDescent="0.2">
      <c r="B1007" s="712">
        <v>40990</v>
      </c>
      <c r="E1007" t="s">
        <v>2707</v>
      </c>
      <c r="G1007" s="701">
        <v>800</v>
      </c>
    </row>
    <row r="1008" spans="2:7" x14ac:dyDescent="0.2">
      <c r="B1008" s="712">
        <v>40990</v>
      </c>
      <c r="D1008" s="713" t="s">
        <v>2786</v>
      </c>
      <c r="E1008" t="s">
        <v>1035</v>
      </c>
      <c r="G1008" s="701">
        <v>200</v>
      </c>
    </row>
    <row r="1009" spans="1:9" x14ac:dyDescent="0.2">
      <c r="B1009" s="712">
        <v>40990</v>
      </c>
      <c r="D1009" s="713" t="s">
        <v>3274</v>
      </c>
      <c r="E1009" t="s">
        <v>1035</v>
      </c>
      <c r="G1009" s="701">
        <v>8000</v>
      </c>
    </row>
    <row r="1010" spans="1:9" x14ac:dyDescent="0.2">
      <c r="B1010" s="712">
        <v>40991</v>
      </c>
      <c r="C1010" t="s">
        <v>367</v>
      </c>
      <c r="E1010" t="s">
        <v>2707</v>
      </c>
      <c r="G1010" s="701">
        <v>1030</v>
      </c>
    </row>
    <row r="1011" spans="1:9" x14ac:dyDescent="0.2">
      <c r="B1011" s="712">
        <v>40991</v>
      </c>
      <c r="C1011"/>
      <c r="D1011" t="s">
        <v>3246</v>
      </c>
      <c r="E1011" t="s">
        <v>2722</v>
      </c>
      <c r="G1011" s="701">
        <v>3500</v>
      </c>
    </row>
    <row r="1012" spans="1:9" x14ac:dyDescent="0.2">
      <c r="B1012" s="712">
        <v>40992</v>
      </c>
      <c r="C1012" t="s">
        <v>367</v>
      </c>
      <c r="E1012" t="s">
        <v>2707</v>
      </c>
      <c r="G1012" s="701">
        <v>10775</v>
      </c>
    </row>
    <row r="1013" spans="1:9" x14ac:dyDescent="0.2">
      <c r="B1013" s="712">
        <v>40993</v>
      </c>
      <c r="D1013" s="713" t="s">
        <v>3275</v>
      </c>
      <c r="E1013" t="s">
        <v>2722</v>
      </c>
      <c r="G1013" s="701">
        <v>12000</v>
      </c>
    </row>
    <row r="1014" spans="1:9" x14ac:dyDescent="0.2">
      <c r="B1014" s="712">
        <v>40994</v>
      </c>
      <c r="D1014" t="s">
        <v>3276</v>
      </c>
      <c r="E1014" t="s">
        <v>1035</v>
      </c>
      <c r="G1014" s="701">
        <v>6120</v>
      </c>
    </row>
    <row r="1015" spans="1:9" x14ac:dyDescent="0.2">
      <c r="B1015" s="712">
        <v>40995</v>
      </c>
      <c r="C1015" s="713" t="s">
        <v>2706</v>
      </c>
      <c r="D1015" t="s">
        <v>2784</v>
      </c>
      <c r="E1015" s="713" t="s">
        <v>2700</v>
      </c>
      <c r="G1015" s="701">
        <v>10000</v>
      </c>
    </row>
    <row r="1016" spans="1:9" x14ac:dyDescent="0.2">
      <c r="B1016" s="712">
        <v>40995</v>
      </c>
      <c r="C1016" t="s">
        <v>2712</v>
      </c>
      <c r="D1016" t="s">
        <v>2713</v>
      </c>
      <c r="E1016" s="713" t="s">
        <v>2714</v>
      </c>
      <c r="G1016" s="701">
        <v>2200</v>
      </c>
    </row>
    <row r="1017" spans="1:9" x14ac:dyDescent="0.2">
      <c r="B1017" s="712">
        <v>40996</v>
      </c>
      <c r="C1017" t="s">
        <v>2712</v>
      </c>
      <c r="D1017" t="s">
        <v>2713</v>
      </c>
      <c r="E1017" s="713" t="s">
        <v>2714</v>
      </c>
      <c r="G1017" s="701">
        <v>735</v>
      </c>
    </row>
    <row r="1018" spans="1:9" x14ac:dyDescent="0.2">
      <c r="B1018" s="712">
        <v>40996</v>
      </c>
      <c r="C1018"/>
      <c r="D1018" t="s">
        <v>3183</v>
      </c>
      <c r="E1018" s="713" t="s">
        <v>1035</v>
      </c>
      <c r="G1018" s="701">
        <v>9900</v>
      </c>
    </row>
    <row r="1019" spans="1:9" x14ac:dyDescent="0.2">
      <c r="B1019" s="712">
        <v>40997</v>
      </c>
      <c r="C1019" t="s">
        <v>2712</v>
      </c>
      <c r="D1019" t="s">
        <v>2713</v>
      </c>
      <c r="E1019" s="713" t="s">
        <v>2714</v>
      </c>
      <c r="G1019" s="701">
        <v>1970</v>
      </c>
    </row>
    <row r="1020" spans="1:9" x14ac:dyDescent="0.2">
      <c r="B1020" s="712">
        <v>40997</v>
      </c>
      <c r="C1020" t="s">
        <v>367</v>
      </c>
      <c r="E1020" t="s">
        <v>2707</v>
      </c>
      <c r="G1020" s="701">
        <v>10430</v>
      </c>
    </row>
    <row r="1021" spans="1:9" x14ac:dyDescent="0.2">
      <c r="B1021" s="712">
        <v>40997</v>
      </c>
      <c r="C1021" t="s">
        <v>479</v>
      </c>
      <c r="E1021" s="713" t="s">
        <v>2719</v>
      </c>
      <c r="G1021" s="701">
        <v>11175</v>
      </c>
    </row>
    <row r="1022" spans="1:9" x14ac:dyDescent="0.2">
      <c r="B1022" s="712">
        <v>40997</v>
      </c>
      <c r="C1022" t="s">
        <v>3278</v>
      </c>
      <c r="D1022" s="713" t="s">
        <v>3279</v>
      </c>
      <c r="E1022" s="713" t="s">
        <v>2750</v>
      </c>
      <c r="G1022" s="701">
        <v>2800</v>
      </c>
    </row>
    <row r="1023" spans="1:9" x14ac:dyDescent="0.2">
      <c r="B1023" s="712">
        <v>40998</v>
      </c>
      <c r="D1023" s="713" t="s">
        <v>3280</v>
      </c>
      <c r="E1023" s="713" t="s">
        <v>1035</v>
      </c>
      <c r="G1023" s="701">
        <v>73900</v>
      </c>
    </row>
    <row r="1024" spans="1:9" s="726" customFormat="1" x14ac:dyDescent="0.2">
      <c r="A1024" s="806"/>
      <c r="B1024" s="721">
        <v>40998</v>
      </c>
      <c r="D1024" s="588" t="s">
        <v>3281</v>
      </c>
      <c r="E1024" s="726" t="s">
        <v>1035</v>
      </c>
      <c r="G1024" s="723">
        <v>-2900</v>
      </c>
      <c r="H1024" s="968"/>
      <c r="I1024" s="969"/>
    </row>
    <row r="1025" spans="1:9" s="726" customFormat="1" x14ac:dyDescent="0.2">
      <c r="A1025" s="806"/>
      <c r="B1025" s="721">
        <v>40998</v>
      </c>
      <c r="D1025" s="588" t="s">
        <v>3282</v>
      </c>
      <c r="E1025" s="588" t="s">
        <v>1035</v>
      </c>
      <c r="G1025" s="723">
        <v>-7000</v>
      </c>
      <c r="H1025" s="968"/>
      <c r="I1025" s="969"/>
    </row>
    <row r="1026" spans="1:9" s="726" customFormat="1" x14ac:dyDescent="0.2">
      <c r="A1026" s="806"/>
      <c r="B1026" s="721">
        <v>40998</v>
      </c>
      <c r="D1026" s="588" t="s">
        <v>3282</v>
      </c>
      <c r="E1026" s="588" t="s">
        <v>1035</v>
      </c>
      <c r="G1026" s="723">
        <v>-8500</v>
      </c>
      <c r="H1026" s="968"/>
      <c r="I1026" s="969"/>
    </row>
    <row r="1027" spans="1:9" s="726" customFormat="1" x14ac:dyDescent="0.2">
      <c r="A1027" s="806"/>
      <c r="B1027" s="721">
        <v>40998</v>
      </c>
      <c r="D1027" s="588" t="s">
        <v>3283</v>
      </c>
      <c r="E1027" s="588" t="s">
        <v>1035</v>
      </c>
      <c r="G1027" s="723">
        <v>22000</v>
      </c>
      <c r="H1027" s="968"/>
      <c r="I1027" s="969"/>
    </row>
    <row r="1028" spans="1:9" s="726" customFormat="1" x14ac:dyDescent="0.2">
      <c r="A1028" s="806"/>
      <c r="B1028" s="721">
        <v>40998</v>
      </c>
      <c r="D1028" s="588" t="s">
        <v>3284</v>
      </c>
      <c r="E1028" s="588" t="s">
        <v>1035</v>
      </c>
      <c r="G1028" s="723">
        <v>3000</v>
      </c>
      <c r="H1028" s="968"/>
      <c r="I1028" s="969"/>
    </row>
    <row r="1029" spans="1:9" s="726" customFormat="1" x14ac:dyDescent="0.2">
      <c r="A1029" s="806"/>
      <c r="B1029" s="721">
        <v>40998</v>
      </c>
      <c r="D1029" s="588" t="s">
        <v>3285</v>
      </c>
      <c r="E1029" s="588" t="s">
        <v>1035</v>
      </c>
      <c r="G1029" s="723">
        <v>6000</v>
      </c>
      <c r="H1029" s="968"/>
      <c r="I1029" s="969"/>
    </row>
    <row r="1030" spans="1:9" s="726" customFormat="1" x14ac:dyDescent="0.2">
      <c r="A1030" s="806"/>
      <c r="B1030" s="721">
        <v>40998</v>
      </c>
      <c r="D1030" s="588" t="s">
        <v>3302</v>
      </c>
      <c r="E1030" s="588" t="s">
        <v>1035</v>
      </c>
      <c r="G1030" s="723">
        <v>-7500</v>
      </c>
      <c r="H1030" s="968"/>
      <c r="I1030" s="969"/>
    </row>
    <row r="1031" spans="1:9" s="726" customFormat="1" x14ac:dyDescent="0.2">
      <c r="A1031" s="806"/>
      <c r="B1031" s="721">
        <v>40998</v>
      </c>
      <c r="D1031" s="588" t="s">
        <v>3286</v>
      </c>
      <c r="E1031" s="588" t="s">
        <v>1035</v>
      </c>
      <c r="G1031" s="723">
        <v>-4000</v>
      </c>
      <c r="H1031" s="968"/>
      <c r="I1031" s="969"/>
    </row>
    <row r="1032" spans="1:9" x14ac:dyDescent="0.2">
      <c r="B1032" s="712">
        <v>40999</v>
      </c>
    </row>
    <row r="1033" spans="1:9" x14ac:dyDescent="0.2">
      <c r="B1033" s="712">
        <v>41000</v>
      </c>
    </row>
    <row r="1034" spans="1:9" x14ac:dyDescent="0.2">
      <c r="B1034" s="712">
        <v>41001</v>
      </c>
      <c r="C1034" t="s">
        <v>367</v>
      </c>
      <c r="E1034" t="s">
        <v>2707</v>
      </c>
      <c r="G1034" s="701">
        <v>10430</v>
      </c>
    </row>
    <row r="1035" spans="1:9" x14ac:dyDescent="0.2">
      <c r="B1035" s="712">
        <v>41002</v>
      </c>
      <c r="D1035" t="s">
        <v>3288</v>
      </c>
      <c r="E1035" t="s">
        <v>1035</v>
      </c>
      <c r="G1035" s="701">
        <v>500</v>
      </c>
    </row>
    <row r="1036" spans="1:9" x14ac:dyDescent="0.2">
      <c r="B1036" s="712">
        <v>41002</v>
      </c>
      <c r="C1036" t="s">
        <v>2712</v>
      </c>
      <c r="D1036" t="s">
        <v>2713</v>
      </c>
      <c r="E1036" s="713" t="s">
        <v>2714</v>
      </c>
      <c r="G1036" s="701">
        <v>3055</v>
      </c>
    </row>
    <row r="1037" spans="1:9" x14ac:dyDescent="0.2">
      <c r="B1037" s="712">
        <v>41002</v>
      </c>
      <c r="C1037" t="s">
        <v>2758</v>
      </c>
      <c r="D1037" t="s">
        <v>2759</v>
      </c>
      <c r="E1037" s="713" t="s">
        <v>2707</v>
      </c>
      <c r="G1037" s="701">
        <v>475</v>
      </c>
    </row>
    <row r="1038" spans="1:9" x14ac:dyDescent="0.2">
      <c r="B1038" s="712">
        <v>41002</v>
      </c>
      <c r="D1038" t="s">
        <v>2932</v>
      </c>
      <c r="E1038" s="713" t="s">
        <v>2707</v>
      </c>
      <c r="G1038" s="701">
        <v>450</v>
      </c>
    </row>
    <row r="1039" spans="1:9" x14ac:dyDescent="0.2">
      <c r="B1039" s="712">
        <v>41002</v>
      </c>
      <c r="D1039" t="s">
        <v>3287</v>
      </c>
      <c r="E1039" s="713" t="s">
        <v>1035</v>
      </c>
      <c r="G1039" s="701">
        <v>6140</v>
      </c>
    </row>
    <row r="1040" spans="1:9" x14ac:dyDescent="0.2">
      <c r="B1040" s="712">
        <v>41003</v>
      </c>
      <c r="C1040" t="s">
        <v>367</v>
      </c>
      <c r="D1040" t="s">
        <v>3287</v>
      </c>
      <c r="E1040" t="s">
        <v>1035</v>
      </c>
      <c r="G1040" s="701">
        <v>3180</v>
      </c>
    </row>
    <row r="1041" spans="2:7" x14ac:dyDescent="0.2">
      <c r="B1041" s="712">
        <v>41003</v>
      </c>
      <c r="C1041"/>
      <c r="D1041" t="s">
        <v>2724</v>
      </c>
      <c r="E1041" t="s">
        <v>2724</v>
      </c>
      <c r="G1041" s="701">
        <v>230</v>
      </c>
    </row>
    <row r="1042" spans="2:7" x14ac:dyDescent="0.2">
      <c r="B1042" s="712">
        <v>41004</v>
      </c>
      <c r="D1042"/>
    </row>
    <row r="1043" spans="2:7" x14ac:dyDescent="0.2">
      <c r="B1043" s="712">
        <v>41005</v>
      </c>
      <c r="C1043" s="713" t="s">
        <v>2706</v>
      </c>
      <c r="D1043" t="s">
        <v>2784</v>
      </c>
      <c r="E1043" s="713" t="s">
        <v>2700</v>
      </c>
      <c r="G1043" s="701">
        <v>18000</v>
      </c>
    </row>
    <row r="1044" spans="2:7" x14ac:dyDescent="0.2">
      <c r="B1044" s="712">
        <v>41005</v>
      </c>
      <c r="D1044" t="s">
        <v>3292</v>
      </c>
      <c r="E1044" s="713" t="s">
        <v>1035</v>
      </c>
      <c r="G1044" s="701">
        <v>3000</v>
      </c>
    </row>
    <row r="1045" spans="2:7" x14ac:dyDescent="0.2">
      <c r="B1045" s="712">
        <v>41005</v>
      </c>
      <c r="C1045" t="s">
        <v>367</v>
      </c>
      <c r="E1045" t="s">
        <v>2707</v>
      </c>
      <c r="G1045" s="701">
        <v>2090</v>
      </c>
    </row>
    <row r="1046" spans="2:7" x14ac:dyDescent="0.2">
      <c r="B1046" s="712">
        <v>41006</v>
      </c>
      <c r="D1046" s="713" t="s">
        <v>3069</v>
      </c>
      <c r="E1046" t="s">
        <v>1035</v>
      </c>
      <c r="G1046" s="701">
        <v>1350</v>
      </c>
    </row>
    <row r="1047" spans="2:7" x14ac:dyDescent="0.2">
      <c r="B1047" s="712">
        <v>41007</v>
      </c>
      <c r="D1047" s="672" t="s">
        <v>3293</v>
      </c>
    </row>
    <row r="1048" spans="2:7" x14ac:dyDescent="0.2">
      <c r="B1048" s="712">
        <v>41008</v>
      </c>
    </row>
    <row r="1049" spans="2:7" x14ac:dyDescent="0.2">
      <c r="B1049" s="712">
        <v>41009</v>
      </c>
    </row>
    <row r="1050" spans="2:7" x14ac:dyDescent="0.2">
      <c r="B1050" s="712">
        <v>41010</v>
      </c>
      <c r="C1050" t="s">
        <v>367</v>
      </c>
      <c r="E1050" t="s">
        <v>2707</v>
      </c>
      <c r="G1050" s="701">
        <v>5200</v>
      </c>
    </row>
    <row r="1051" spans="2:7" x14ac:dyDescent="0.2">
      <c r="B1051" s="712">
        <v>41011</v>
      </c>
      <c r="D1051" t="s">
        <v>3289</v>
      </c>
      <c r="E1051" t="s">
        <v>1035</v>
      </c>
      <c r="G1051" s="701">
        <v>4000</v>
      </c>
    </row>
    <row r="1052" spans="2:7" x14ac:dyDescent="0.2">
      <c r="B1052" s="712">
        <v>41011</v>
      </c>
      <c r="C1052" t="s">
        <v>367</v>
      </c>
      <c r="E1052" t="s">
        <v>2707</v>
      </c>
      <c r="G1052" s="701">
        <v>3705</v>
      </c>
    </row>
    <row r="1053" spans="2:7" x14ac:dyDescent="0.2">
      <c r="B1053" s="712">
        <v>41011</v>
      </c>
      <c r="C1053" t="s">
        <v>2712</v>
      </c>
      <c r="D1053" t="s">
        <v>2713</v>
      </c>
      <c r="E1053" s="713" t="s">
        <v>2714</v>
      </c>
      <c r="G1053" s="701">
        <v>2655</v>
      </c>
    </row>
    <row r="1054" spans="2:7" x14ac:dyDescent="0.2">
      <c r="B1054" s="712">
        <v>41011</v>
      </c>
      <c r="C1054" t="s">
        <v>2758</v>
      </c>
      <c r="D1054" t="s">
        <v>2759</v>
      </c>
      <c r="E1054" s="713" t="s">
        <v>2707</v>
      </c>
      <c r="G1054" s="701">
        <v>2620</v>
      </c>
    </row>
    <row r="1055" spans="2:7" x14ac:dyDescent="0.2">
      <c r="B1055" s="712">
        <v>41011</v>
      </c>
      <c r="C1055"/>
      <c r="D1055"/>
      <c r="E1055" s="713" t="s">
        <v>1035</v>
      </c>
      <c r="G1055" s="701">
        <v>1540</v>
      </c>
    </row>
    <row r="1056" spans="2:7" x14ac:dyDescent="0.2">
      <c r="B1056" s="712">
        <v>41012</v>
      </c>
      <c r="D1056" t="s">
        <v>2932</v>
      </c>
      <c r="E1056" t="s">
        <v>2707</v>
      </c>
      <c r="G1056" s="701">
        <v>1100</v>
      </c>
    </row>
    <row r="1057" spans="2:7" x14ac:dyDescent="0.2">
      <c r="B1057" s="712">
        <v>41013</v>
      </c>
    </row>
    <row r="1058" spans="2:7" x14ac:dyDescent="0.2">
      <c r="B1058" s="712">
        <v>41014</v>
      </c>
    </row>
    <row r="1059" spans="2:7" x14ac:dyDescent="0.2">
      <c r="B1059" s="712">
        <v>41015</v>
      </c>
      <c r="E1059" s="713" t="s">
        <v>2724</v>
      </c>
      <c r="G1059" s="701">
        <v>1710</v>
      </c>
    </row>
    <row r="1060" spans="2:7" x14ac:dyDescent="0.2">
      <c r="B1060" s="712">
        <v>41015</v>
      </c>
      <c r="D1060" t="s">
        <v>3290</v>
      </c>
      <c r="E1060" s="713" t="s">
        <v>2750</v>
      </c>
      <c r="G1060" s="701">
        <v>1135</v>
      </c>
    </row>
    <row r="1061" spans="2:7" x14ac:dyDescent="0.2">
      <c r="B1061" s="712">
        <v>41015</v>
      </c>
      <c r="D1061" t="s">
        <v>3291</v>
      </c>
      <c r="E1061" s="713" t="s">
        <v>2750</v>
      </c>
      <c r="G1061" s="701">
        <v>2600</v>
      </c>
    </row>
    <row r="1062" spans="2:7" x14ac:dyDescent="0.2">
      <c r="B1062" s="712">
        <v>41015</v>
      </c>
      <c r="C1062" t="s">
        <v>2712</v>
      </c>
      <c r="D1062" t="s">
        <v>2713</v>
      </c>
      <c r="E1062" s="713" t="s">
        <v>2714</v>
      </c>
      <c r="G1062" s="701">
        <v>1040</v>
      </c>
    </row>
    <row r="1063" spans="2:7" x14ac:dyDescent="0.2">
      <c r="B1063" s="712">
        <v>41016</v>
      </c>
      <c r="C1063" t="s">
        <v>367</v>
      </c>
      <c r="E1063" t="s">
        <v>2707</v>
      </c>
      <c r="G1063" s="701">
        <v>6600</v>
      </c>
    </row>
    <row r="1064" spans="2:7" x14ac:dyDescent="0.2">
      <c r="B1064" s="712">
        <v>41016</v>
      </c>
      <c r="C1064"/>
      <c r="D1064" t="s">
        <v>2763</v>
      </c>
      <c r="E1064" t="s">
        <v>2707</v>
      </c>
      <c r="G1064" s="701">
        <v>1900</v>
      </c>
    </row>
    <row r="1065" spans="2:7" x14ac:dyDescent="0.2">
      <c r="B1065" s="712">
        <v>41016</v>
      </c>
      <c r="C1065"/>
      <c r="D1065" t="s">
        <v>2932</v>
      </c>
      <c r="E1065" t="s">
        <v>2707</v>
      </c>
      <c r="G1065" s="701">
        <v>970</v>
      </c>
    </row>
    <row r="1066" spans="2:7" x14ac:dyDescent="0.2">
      <c r="B1066" s="712">
        <v>41016</v>
      </c>
      <c r="C1066"/>
      <c r="D1066" t="s">
        <v>3274</v>
      </c>
      <c r="E1066" t="s">
        <v>1035</v>
      </c>
      <c r="G1066" s="701">
        <v>4000</v>
      </c>
    </row>
    <row r="1067" spans="2:7" x14ac:dyDescent="0.2">
      <c r="B1067" s="712">
        <v>41017</v>
      </c>
      <c r="C1067" s="713" t="s">
        <v>2706</v>
      </c>
      <c r="D1067" t="s">
        <v>2784</v>
      </c>
      <c r="E1067" s="713" t="s">
        <v>2700</v>
      </c>
      <c r="G1067" s="701">
        <v>10000</v>
      </c>
    </row>
    <row r="1068" spans="2:7" x14ac:dyDescent="0.2">
      <c r="B1068" s="712">
        <v>41017</v>
      </c>
      <c r="C1068" t="s">
        <v>2708</v>
      </c>
      <c r="D1068"/>
      <c r="E1068" s="713" t="s">
        <v>2709</v>
      </c>
      <c r="G1068" s="896">
        <v>10740</v>
      </c>
    </row>
    <row r="1069" spans="2:7" x14ac:dyDescent="0.2">
      <c r="B1069" s="712">
        <v>41017</v>
      </c>
      <c r="C1069"/>
      <c r="D1069" t="s">
        <v>3183</v>
      </c>
      <c r="E1069" t="s">
        <v>1035</v>
      </c>
      <c r="G1069" s="896">
        <v>10000</v>
      </c>
    </row>
    <row r="1070" spans="2:7" x14ac:dyDescent="0.2">
      <c r="B1070" s="712">
        <v>41017</v>
      </c>
      <c r="C1070"/>
      <c r="D1070" t="s">
        <v>3294</v>
      </c>
      <c r="E1070" t="s">
        <v>1035</v>
      </c>
      <c r="G1070" s="896">
        <v>540</v>
      </c>
    </row>
    <row r="1071" spans="2:7" x14ac:dyDescent="0.2">
      <c r="B1071" s="712">
        <v>41018</v>
      </c>
      <c r="C1071"/>
      <c r="D1071" t="s">
        <v>3120</v>
      </c>
      <c r="E1071" t="s">
        <v>1035</v>
      </c>
      <c r="G1071" s="896">
        <v>3600</v>
      </c>
    </row>
    <row r="1072" spans="2:7" x14ac:dyDescent="0.2">
      <c r="B1072" s="712">
        <v>41018</v>
      </c>
      <c r="C1072"/>
      <c r="D1072" t="s">
        <v>3296</v>
      </c>
      <c r="E1072" t="s">
        <v>1035</v>
      </c>
      <c r="G1072" s="896">
        <v>1800</v>
      </c>
    </row>
    <row r="1073" spans="2:7" x14ac:dyDescent="0.2">
      <c r="B1073" s="712">
        <v>41018</v>
      </c>
      <c r="C1073" t="s">
        <v>2758</v>
      </c>
      <c r="D1073" t="s">
        <v>2759</v>
      </c>
      <c r="E1073" s="713" t="s">
        <v>2707</v>
      </c>
      <c r="G1073" s="701">
        <v>1600</v>
      </c>
    </row>
    <row r="1074" spans="2:7" x14ac:dyDescent="0.2">
      <c r="B1074" s="712">
        <v>41019</v>
      </c>
      <c r="C1074" s="713" t="s">
        <v>2706</v>
      </c>
      <c r="D1074" t="s">
        <v>2784</v>
      </c>
      <c r="E1074" s="713" t="s">
        <v>2700</v>
      </c>
      <c r="G1074" s="701">
        <v>10000</v>
      </c>
    </row>
    <row r="1075" spans="2:7" x14ac:dyDescent="0.2">
      <c r="B1075" s="712">
        <v>41019</v>
      </c>
      <c r="C1075" t="s">
        <v>367</v>
      </c>
      <c r="E1075" t="s">
        <v>2707</v>
      </c>
      <c r="G1075" s="701">
        <v>900</v>
      </c>
    </row>
    <row r="1076" spans="2:7" x14ac:dyDescent="0.2">
      <c r="B1076" s="712">
        <v>41020</v>
      </c>
      <c r="C1076" t="s">
        <v>367</v>
      </c>
      <c r="E1076" t="s">
        <v>2707</v>
      </c>
      <c r="G1076" s="701">
        <v>6750</v>
      </c>
    </row>
    <row r="1077" spans="2:7" x14ac:dyDescent="0.2">
      <c r="B1077" s="712">
        <v>41020</v>
      </c>
      <c r="C1077" t="s">
        <v>2712</v>
      </c>
      <c r="D1077" t="s">
        <v>2713</v>
      </c>
      <c r="E1077" s="713" t="s">
        <v>2714</v>
      </c>
      <c r="G1077" s="701">
        <v>1855</v>
      </c>
    </row>
    <row r="1078" spans="2:7" x14ac:dyDescent="0.2">
      <c r="B1078" s="712">
        <v>41020</v>
      </c>
      <c r="C1078"/>
      <c r="D1078" t="s">
        <v>3295</v>
      </c>
      <c r="E1078" s="713" t="s">
        <v>2750</v>
      </c>
      <c r="G1078" s="701">
        <v>2400</v>
      </c>
    </row>
    <row r="1079" spans="2:7" x14ac:dyDescent="0.2">
      <c r="B1079" s="712">
        <v>41020</v>
      </c>
      <c r="C1079"/>
      <c r="D1079" t="s">
        <v>987</v>
      </c>
      <c r="E1079" s="713" t="s">
        <v>2750</v>
      </c>
      <c r="G1079" s="701">
        <v>6000</v>
      </c>
    </row>
    <row r="1080" spans="2:7" x14ac:dyDescent="0.2">
      <c r="B1080" s="712">
        <v>41021</v>
      </c>
      <c r="C1080"/>
      <c r="E1080" s="713" t="s">
        <v>2707</v>
      </c>
      <c r="G1080" s="701">
        <v>500</v>
      </c>
    </row>
    <row r="1081" spans="2:7" x14ac:dyDescent="0.2">
      <c r="B1081" s="712">
        <v>41022</v>
      </c>
      <c r="C1081" t="s">
        <v>479</v>
      </c>
      <c r="E1081" s="713" t="s">
        <v>2719</v>
      </c>
      <c r="G1081" s="701">
        <v>2800</v>
      </c>
    </row>
    <row r="1082" spans="2:7" x14ac:dyDescent="0.2">
      <c r="B1082" s="712">
        <v>41022</v>
      </c>
      <c r="C1082" t="s">
        <v>2708</v>
      </c>
      <c r="D1082"/>
      <c r="E1082" s="713" t="s">
        <v>2709</v>
      </c>
      <c r="G1082" s="896">
        <v>430</v>
      </c>
    </row>
    <row r="1083" spans="2:7" x14ac:dyDescent="0.2">
      <c r="B1083" s="712">
        <v>41022</v>
      </c>
      <c r="C1083" t="s">
        <v>2712</v>
      </c>
      <c r="D1083" t="s">
        <v>2713</v>
      </c>
      <c r="E1083" s="713" t="s">
        <v>2714</v>
      </c>
      <c r="G1083" s="701">
        <v>500</v>
      </c>
    </row>
    <row r="1084" spans="2:7" x14ac:dyDescent="0.2">
      <c r="B1084" s="712">
        <v>41022</v>
      </c>
      <c r="C1084"/>
      <c r="D1084" t="s">
        <v>3297</v>
      </c>
      <c r="E1084" s="713" t="s">
        <v>1035</v>
      </c>
      <c r="G1084" s="701">
        <v>8500</v>
      </c>
    </row>
    <row r="1085" spans="2:7" x14ac:dyDescent="0.2">
      <c r="B1085" s="712">
        <v>41023</v>
      </c>
      <c r="C1085" t="s">
        <v>1675</v>
      </c>
      <c r="E1085" t="s">
        <v>2707</v>
      </c>
      <c r="G1085" s="701">
        <v>3680</v>
      </c>
    </row>
    <row r="1086" spans="2:7" x14ac:dyDescent="0.2">
      <c r="B1086" s="712">
        <v>41023</v>
      </c>
      <c r="C1086" t="s">
        <v>3232</v>
      </c>
      <c r="D1086" t="s">
        <v>3298</v>
      </c>
      <c r="E1086" t="s">
        <v>3078</v>
      </c>
      <c r="G1086" s="701">
        <v>12180</v>
      </c>
    </row>
    <row r="1087" spans="2:7" x14ac:dyDescent="0.2">
      <c r="B1087" s="712">
        <v>41024</v>
      </c>
    </row>
    <row r="1088" spans="2:7" x14ac:dyDescent="0.2">
      <c r="B1088" s="712">
        <v>41025</v>
      </c>
      <c r="D1088" t="s">
        <v>3309</v>
      </c>
      <c r="E1088" s="713" t="s">
        <v>2750</v>
      </c>
      <c r="G1088" s="701">
        <v>232730</v>
      </c>
    </row>
    <row r="1089" spans="2:7" x14ac:dyDescent="0.2">
      <c r="B1089" s="712">
        <v>41025</v>
      </c>
      <c r="C1089" t="s">
        <v>367</v>
      </c>
      <c r="E1089" t="s">
        <v>2707</v>
      </c>
      <c r="G1089" s="701">
        <v>6080</v>
      </c>
    </row>
    <row r="1090" spans="2:7" x14ac:dyDescent="0.2">
      <c r="B1090" s="712">
        <v>41026</v>
      </c>
      <c r="D1090" t="s">
        <v>3299</v>
      </c>
      <c r="E1090" t="s">
        <v>2750</v>
      </c>
      <c r="G1090" s="701">
        <v>700</v>
      </c>
    </row>
    <row r="1091" spans="2:7" x14ac:dyDescent="0.2">
      <c r="B1091" s="712">
        <v>41026</v>
      </c>
      <c r="D1091" t="s">
        <v>3300</v>
      </c>
      <c r="E1091" t="s">
        <v>2750</v>
      </c>
      <c r="G1091" s="701">
        <v>1680</v>
      </c>
    </row>
    <row r="1092" spans="2:7" x14ac:dyDescent="0.2">
      <c r="B1092" s="712">
        <v>41026</v>
      </c>
      <c r="C1092" t="s">
        <v>2712</v>
      </c>
      <c r="D1092" t="s">
        <v>2713</v>
      </c>
      <c r="E1092" s="713" t="s">
        <v>2714</v>
      </c>
      <c r="G1092" s="701">
        <v>1940</v>
      </c>
    </row>
    <row r="1093" spans="2:7" x14ac:dyDescent="0.2">
      <c r="B1093" s="712">
        <v>41027</v>
      </c>
    </row>
    <row r="1094" spans="2:7" x14ac:dyDescent="0.2">
      <c r="B1094" s="712">
        <v>41028</v>
      </c>
      <c r="D1094" s="672" t="s">
        <v>3303</v>
      </c>
    </row>
    <row r="1095" spans="2:7" x14ac:dyDescent="0.2">
      <c r="B1095" s="712">
        <v>41029</v>
      </c>
    </row>
    <row r="1096" spans="2:7" x14ac:dyDescent="0.2">
      <c r="B1096" s="712">
        <v>41030</v>
      </c>
      <c r="C1096" s="713" t="s">
        <v>2706</v>
      </c>
      <c r="D1096" t="s">
        <v>2784</v>
      </c>
      <c r="E1096" s="713" t="s">
        <v>2700</v>
      </c>
      <c r="G1096" s="701">
        <v>10000</v>
      </c>
    </row>
    <row r="1097" spans="2:7" x14ac:dyDescent="0.2">
      <c r="B1097" s="712">
        <v>41031</v>
      </c>
      <c r="D1097" t="s">
        <v>3301</v>
      </c>
      <c r="E1097" s="713" t="s">
        <v>2750</v>
      </c>
      <c r="G1097" s="701">
        <v>200000</v>
      </c>
    </row>
    <row r="1098" spans="2:7" x14ac:dyDescent="0.2">
      <c r="B1098" s="712">
        <v>41032</v>
      </c>
      <c r="D1098" t="s">
        <v>3304</v>
      </c>
      <c r="E1098" t="s">
        <v>2750</v>
      </c>
      <c r="G1098" s="701">
        <v>740</v>
      </c>
    </row>
    <row r="1099" spans="2:7" x14ac:dyDescent="0.2">
      <c r="B1099" s="712">
        <v>41032</v>
      </c>
      <c r="C1099" t="s">
        <v>2849</v>
      </c>
      <c r="D1099" t="s">
        <v>3311</v>
      </c>
      <c r="E1099" t="s">
        <v>1035</v>
      </c>
      <c r="G1099" s="701">
        <v>12940</v>
      </c>
    </row>
    <row r="1100" spans="2:7" x14ac:dyDescent="0.2">
      <c r="B1100" s="712">
        <v>41032</v>
      </c>
      <c r="C1100" t="s">
        <v>1656</v>
      </c>
      <c r="D1100" t="s">
        <v>3312</v>
      </c>
      <c r="E1100" t="s">
        <v>2750</v>
      </c>
      <c r="G1100" s="701">
        <v>2000</v>
      </c>
    </row>
    <row r="1101" spans="2:7" x14ac:dyDescent="0.2">
      <c r="B1101" s="712">
        <v>41032</v>
      </c>
      <c r="C1101" t="s">
        <v>2704</v>
      </c>
      <c r="D1101"/>
      <c r="E1101" t="s">
        <v>2724</v>
      </c>
      <c r="G1101" s="701">
        <v>500</v>
      </c>
    </row>
    <row r="1102" spans="2:7" x14ac:dyDescent="0.2">
      <c r="B1102" s="712">
        <v>41033</v>
      </c>
      <c r="D1102" s="713" t="s">
        <v>2932</v>
      </c>
      <c r="E1102" t="s">
        <v>2707</v>
      </c>
      <c r="G1102" s="701">
        <v>1120</v>
      </c>
    </row>
    <row r="1103" spans="2:7" x14ac:dyDescent="0.2">
      <c r="B1103" s="712">
        <v>41034</v>
      </c>
    </row>
    <row r="1104" spans="2:7" x14ac:dyDescent="0.2">
      <c r="B1104" s="712">
        <v>41035</v>
      </c>
    </row>
    <row r="1105" spans="2:7" x14ac:dyDescent="0.2">
      <c r="B1105" s="712">
        <v>41036</v>
      </c>
      <c r="D1105" t="s">
        <v>3305</v>
      </c>
      <c r="E1105" t="s">
        <v>2750</v>
      </c>
      <c r="G1105" s="701">
        <v>3790</v>
      </c>
    </row>
    <row r="1106" spans="2:7" x14ac:dyDescent="0.2">
      <c r="B1106" s="712">
        <v>41036</v>
      </c>
      <c r="C1106" s="713" t="s">
        <v>2706</v>
      </c>
      <c r="D1106" t="s">
        <v>2784</v>
      </c>
      <c r="E1106" s="713" t="s">
        <v>2700</v>
      </c>
      <c r="G1106" s="701">
        <v>10000</v>
      </c>
    </row>
    <row r="1107" spans="2:7" x14ac:dyDescent="0.2">
      <c r="B1107" s="712">
        <v>41036</v>
      </c>
      <c r="D1107" t="s">
        <v>3307</v>
      </c>
      <c r="E1107" s="713" t="s">
        <v>3306</v>
      </c>
      <c r="G1107" s="701">
        <v>2000</v>
      </c>
    </row>
    <row r="1108" spans="2:7" x14ac:dyDescent="0.2">
      <c r="B1108" s="712">
        <v>41037</v>
      </c>
      <c r="D1108" t="s">
        <v>3316</v>
      </c>
      <c r="E1108" s="713" t="s">
        <v>2750</v>
      </c>
      <c r="G1108" s="701">
        <v>2020</v>
      </c>
    </row>
    <row r="1109" spans="2:7" x14ac:dyDescent="0.2">
      <c r="B1109" s="712">
        <v>41038</v>
      </c>
      <c r="D1109" t="s">
        <v>3308</v>
      </c>
      <c r="E1109" s="713" t="s">
        <v>2750</v>
      </c>
      <c r="G1109" s="701">
        <v>36400</v>
      </c>
    </row>
    <row r="1110" spans="2:7" x14ac:dyDescent="0.2">
      <c r="B1110" s="712">
        <v>41038</v>
      </c>
      <c r="D1110" t="s">
        <v>3314</v>
      </c>
      <c r="E1110" s="713" t="s">
        <v>2722</v>
      </c>
      <c r="G1110" s="701">
        <v>1340</v>
      </c>
    </row>
    <row r="1111" spans="2:7" x14ac:dyDescent="0.2">
      <c r="B1111" s="712">
        <v>41039</v>
      </c>
      <c r="C1111" t="s">
        <v>2758</v>
      </c>
      <c r="E1111" s="713" t="s">
        <v>2707</v>
      </c>
      <c r="G1111" s="701">
        <v>4825</v>
      </c>
    </row>
    <row r="1112" spans="2:7" x14ac:dyDescent="0.2">
      <c r="B1112" s="712">
        <v>41039</v>
      </c>
      <c r="C1112" t="s">
        <v>367</v>
      </c>
      <c r="E1112" t="s">
        <v>2707</v>
      </c>
      <c r="G1112" s="701">
        <v>835</v>
      </c>
    </row>
    <row r="1113" spans="2:7" x14ac:dyDescent="0.2">
      <c r="B1113" s="712">
        <v>41040</v>
      </c>
      <c r="C1113" t="s">
        <v>367</v>
      </c>
      <c r="E1113" t="s">
        <v>2707</v>
      </c>
      <c r="G1113" s="701">
        <v>11936</v>
      </c>
    </row>
    <row r="1114" spans="2:7" x14ac:dyDescent="0.2">
      <c r="B1114" s="712">
        <v>41040</v>
      </c>
      <c r="C1114" t="s">
        <v>2712</v>
      </c>
      <c r="D1114" t="s">
        <v>2713</v>
      </c>
      <c r="E1114" s="713" t="s">
        <v>2714</v>
      </c>
      <c r="G1114" s="701">
        <v>4940</v>
      </c>
    </row>
    <row r="1115" spans="2:7" x14ac:dyDescent="0.2">
      <c r="B1115" s="712">
        <v>41040</v>
      </c>
      <c r="C1115"/>
      <c r="D1115" t="s">
        <v>3048</v>
      </c>
      <c r="E1115" s="713" t="s">
        <v>1035</v>
      </c>
      <c r="G1115" s="701">
        <v>7000</v>
      </c>
    </row>
    <row r="1116" spans="2:7" x14ac:dyDescent="0.2">
      <c r="B1116" s="712">
        <v>41041</v>
      </c>
      <c r="E1116" s="713" t="s">
        <v>1035</v>
      </c>
      <c r="G1116" s="701">
        <v>2500</v>
      </c>
    </row>
    <row r="1117" spans="2:7" x14ac:dyDescent="0.2">
      <c r="B1117" s="712">
        <v>41042</v>
      </c>
    </row>
    <row r="1118" spans="2:7" x14ac:dyDescent="0.2">
      <c r="B1118" s="712">
        <v>41043</v>
      </c>
      <c r="D1118" t="s">
        <v>3317</v>
      </c>
      <c r="E1118" t="s">
        <v>1035</v>
      </c>
      <c r="G1118" s="701">
        <v>1200</v>
      </c>
    </row>
    <row r="1119" spans="2:7" x14ac:dyDescent="0.2">
      <c r="B1119" s="712">
        <v>41044</v>
      </c>
      <c r="C1119" t="s">
        <v>2708</v>
      </c>
      <c r="D1119"/>
      <c r="E1119" s="713" t="s">
        <v>2709</v>
      </c>
      <c r="G1119" s="896">
        <v>620</v>
      </c>
    </row>
    <row r="1120" spans="2:7" x14ac:dyDescent="0.2">
      <c r="B1120" s="712">
        <v>41044</v>
      </c>
      <c r="C1120" s="713" t="s">
        <v>2706</v>
      </c>
      <c r="D1120" t="s">
        <v>2784</v>
      </c>
      <c r="E1120" s="713" t="s">
        <v>2700</v>
      </c>
      <c r="G1120" s="701">
        <v>5000</v>
      </c>
    </row>
    <row r="1121" spans="2:7" x14ac:dyDescent="0.2">
      <c r="B1121" s="712">
        <v>41044</v>
      </c>
      <c r="C1121"/>
      <c r="D1121" t="s">
        <v>3274</v>
      </c>
      <c r="E1121" s="713" t="s">
        <v>1035</v>
      </c>
      <c r="G1121" s="896">
        <v>4000</v>
      </c>
    </row>
    <row r="1122" spans="2:7" x14ac:dyDescent="0.2">
      <c r="B1122" s="712">
        <v>41044</v>
      </c>
      <c r="C1122"/>
      <c r="D1122" t="s">
        <v>2932</v>
      </c>
      <c r="E1122" s="713" t="s">
        <v>2707</v>
      </c>
      <c r="G1122" s="896">
        <v>880</v>
      </c>
    </row>
    <row r="1123" spans="2:7" x14ac:dyDescent="0.2">
      <c r="B1123" s="712">
        <v>41044</v>
      </c>
      <c r="C1123"/>
      <c r="D1123" t="s">
        <v>3317</v>
      </c>
      <c r="E1123" t="s">
        <v>1035</v>
      </c>
      <c r="G1123" s="701">
        <v>1800</v>
      </c>
    </row>
    <row r="1124" spans="2:7" x14ac:dyDescent="0.2">
      <c r="B1124" s="712">
        <v>41045</v>
      </c>
      <c r="D1124" t="s">
        <v>987</v>
      </c>
      <c r="E1124" t="s">
        <v>2750</v>
      </c>
      <c r="G1124" s="701">
        <v>45000</v>
      </c>
    </row>
    <row r="1125" spans="2:7" x14ac:dyDescent="0.2">
      <c r="B1125" s="712">
        <v>41045</v>
      </c>
      <c r="C1125" t="s">
        <v>367</v>
      </c>
      <c r="E1125" t="s">
        <v>2707</v>
      </c>
      <c r="G1125" s="701">
        <v>8726</v>
      </c>
    </row>
    <row r="1126" spans="2:7" x14ac:dyDescent="0.2">
      <c r="B1126" s="712">
        <v>41045</v>
      </c>
      <c r="C1126" t="s">
        <v>2712</v>
      </c>
      <c r="D1126" t="s">
        <v>2713</v>
      </c>
      <c r="E1126" s="713" t="s">
        <v>2714</v>
      </c>
      <c r="G1126" s="701">
        <v>2095</v>
      </c>
    </row>
    <row r="1127" spans="2:7" x14ac:dyDescent="0.2">
      <c r="B1127" s="712">
        <v>41046</v>
      </c>
      <c r="D1127" t="s">
        <v>3313</v>
      </c>
      <c r="E1127" t="s">
        <v>1035</v>
      </c>
      <c r="G1127" s="701">
        <v>3400</v>
      </c>
    </row>
    <row r="1128" spans="2:7" x14ac:dyDescent="0.2">
      <c r="B1128" s="712">
        <v>41047</v>
      </c>
      <c r="C1128" t="s">
        <v>3202</v>
      </c>
      <c r="E1128" t="s">
        <v>2719</v>
      </c>
      <c r="G1128" s="701">
        <v>3300</v>
      </c>
    </row>
    <row r="1129" spans="2:7" x14ac:dyDescent="0.2">
      <c r="B1129" s="712">
        <v>41047</v>
      </c>
      <c r="C1129"/>
      <c r="D1129" s="713" t="s">
        <v>3315</v>
      </c>
      <c r="E1129" t="s">
        <v>2750</v>
      </c>
      <c r="G1129" s="701">
        <v>1100</v>
      </c>
    </row>
    <row r="1130" spans="2:7" x14ac:dyDescent="0.2">
      <c r="B1130" s="712">
        <v>41048</v>
      </c>
      <c r="C1130" t="s">
        <v>2712</v>
      </c>
      <c r="D1130" t="s">
        <v>2713</v>
      </c>
      <c r="E1130" s="713" t="s">
        <v>2714</v>
      </c>
      <c r="G1130" s="701">
        <v>530</v>
      </c>
    </row>
    <row r="1131" spans="2:7" x14ac:dyDescent="0.2">
      <c r="B1131" s="712">
        <v>41049</v>
      </c>
      <c r="C1131" t="s">
        <v>367</v>
      </c>
      <c r="E1131" t="s">
        <v>2707</v>
      </c>
      <c r="G1131" s="701">
        <v>4858</v>
      </c>
    </row>
    <row r="1132" spans="2:7" x14ac:dyDescent="0.2">
      <c r="B1132" s="712">
        <v>41050</v>
      </c>
      <c r="C1132" s="713" t="s">
        <v>2706</v>
      </c>
      <c r="D1132" t="s">
        <v>2784</v>
      </c>
      <c r="E1132" s="713" t="s">
        <v>2700</v>
      </c>
      <c r="G1132" s="701">
        <v>10000</v>
      </c>
    </row>
    <row r="1133" spans="2:7" x14ac:dyDescent="0.2">
      <c r="B1133" s="712">
        <v>41050</v>
      </c>
      <c r="C1133" t="s">
        <v>479</v>
      </c>
      <c r="E1133" s="713" t="s">
        <v>2719</v>
      </c>
      <c r="G1133" s="701">
        <v>11160</v>
      </c>
    </row>
    <row r="1134" spans="2:7" x14ac:dyDescent="0.2">
      <c r="B1134" s="712">
        <v>41050</v>
      </c>
      <c r="C1134"/>
      <c r="D1134" t="s">
        <v>3310</v>
      </c>
      <c r="E1134" t="s">
        <v>2707</v>
      </c>
      <c r="G1134" s="701">
        <v>350</v>
      </c>
    </row>
    <row r="1135" spans="2:7" x14ac:dyDescent="0.2">
      <c r="B1135" s="712">
        <v>41050</v>
      </c>
      <c r="C1135" t="s">
        <v>367</v>
      </c>
      <c r="E1135" t="s">
        <v>2707</v>
      </c>
      <c r="G1135" s="701">
        <v>1128</v>
      </c>
    </row>
    <row r="1136" spans="2:7" x14ac:dyDescent="0.2">
      <c r="B1136" s="712">
        <v>41051</v>
      </c>
      <c r="C1136" t="s">
        <v>2704</v>
      </c>
      <c r="D1136"/>
      <c r="E1136" t="s">
        <v>2724</v>
      </c>
      <c r="G1136" s="701">
        <v>520</v>
      </c>
    </row>
    <row r="1137" spans="2:7" x14ac:dyDescent="0.2">
      <c r="B1137" s="712">
        <v>41052</v>
      </c>
      <c r="C1137" t="s">
        <v>2229</v>
      </c>
      <c r="E1137" t="s">
        <v>2707</v>
      </c>
      <c r="G1137" s="701">
        <v>660</v>
      </c>
    </row>
    <row r="1138" spans="2:7" x14ac:dyDescent="0.2">
      <c r="B1138" s="712">
        <v>41053</v>
      </c>
      <c r="C1138" s="726"/>
      <c r="D1138" s="588" t="s">
        <v>3286</v>
      </c>
      <c r="E1138" s="588" t="s">
        <v>1035</v>
      </c>
      <c r="F1138" s="726"/>
      <c r="G1138" s="723">
        <v>-1800</v>
      </c>
    </row>
    <row r="1139" spans="2:7" x14ac:dyDescent="0.2">
      <c r="B1139" s="712">
        <v>41054</v>
      </c>
      <c r="C1139" s="713" t="s">
        <v>2706</v>
      </c>
      <c r="D1139" t="s">
        <v>2784</v>
      </c>
      <c r="E1139" s="713" t="s">
        <v>2700</v>
      </c>
      <c r="G1139" s="701">
        <v>15000</v>
      </c>
    </row>
    <row r="1140" spans="2:7" x14ac:dyDescent="0.2">
      <c r="B1140" s="712">
        <v>41054</v>
      </c>
      <c r="D1140" t="s">
        <v>3292</v>
      </c>
      <c r="E1140" s="713" t="s">
        <v>3306</v>
      </c>
      <c r="G1140" s="973">
        <v>2500</v>
      </c>
    </row>
    <row r="1141" spans="2:7" x14ac:dyDescent="0.2">
      <c r="B1141" s="712">
        <v>41054</v>
      </c>
      <c r="C1141" t="s">
        <v>367</v>
      </c>
      <c r="E1141" t="s">
        <v>2707</v>
      </c>
      <c r="G1141" s="701">
        <v>11140</v>
      </c>
    </row>
    <row r="1142" spans="2:7" x14ac:dyDescent="0.2">
      <c r="B1142" s="712">
        <v>41055</v>
      </c>
      <c r="D1142" s="713" t="s">
        <v>3323</v>
      </c>
      <c r="G1142" s="713"/>
    </row>
    <row r="1143" spans="2:7" x14ac:dyDescent="0.2">
      <c r="B1143" s="712">
        <v>41056</v>
      </c>
    </row>
    <row r="1144" spans="2:7" x14ac:dyDescent="0.2">
      <c r="B1144" s="712">
        <v>41057</v>
      </c>
    </row>
    <row r="1145" spans="2:7" x14ac:dyDescent="0.2">
      <c r="B1145" s="712">
        <v>41058</v>
      </c>
      <c r="D1145" t="s">
        <v>3318</v>
      </c>
      <c r="E1145" s="713" t="s">
        <v>2750</v>
      </c>
      <c r="G1145" s="701">
        <v>90000</v>
      </c>
    </row>
    <row r="1146" spans="2:7" x14ac:dyDescent="0.2">
      <c r="B1146" s="712">
        <v>41058</v>
      </c>
      <c r="D1146" t="s">
        <v>3319</v>
      </c>
      <c r="E1146" t="s">
        <v>2750</v>
      </c>
      <c r="G1146" s="701">
        <v>7500</v>
      </c>
    </row>
    <row r="1147" spans="2:7" x14ac:dyDescent="0.2">
      <c r="B1147" s="712">
        <v>41058</v>
      </c>
      <c r="C1147" t="s">
        <v>367</v>
      </c>
      <c r="E1147" t="s">
        <v>2707</v>
      </c>
      <c r="G1147" s="701">
        <v>11640</v>
      </c>
    </row>
    <row r="1148" spans="2:7" x14ac:dyDescent="0.2">
      <c r="B1148" s="712">
        <v>41058</v>
      </c>
      <c r="C1148"/>
      <c r="D1148" t="s">
        <v>2932</v>
      </c>
      <c r="E1148" t="s">
        <v>2707</v>
      </c>
      <c r="G1148" s="701">
        <v>1150</v>
      </c>
    </row>
    <row r="1149" spans="2:7" x14ac:dyDescent="0.2">
      <c r="B1149" s="712">
        <v>41058</v>
      </c>
      <c r="C1149" t="s">
        <v>2712</v>
      </c>
      <c r="D1149" t="s">
        <v>2713</v>
      </c>
      <c r="E1149" s="713" t="s">
        <v>2714</v>
      </c>
      <c r="G1149" s="701">
        <v>1125</v>
      </c>
    </row>
    <row r="1150" spans="2:7" x14ac:dyDescent="0.2">
      <c r="B1150" s="712">
        <v>41059</v>
      </c>
      <c r="D1150" t="s">
        <v>3320</v>
      </c>
      <c r="E1150" s="713" t="s">
        <v>2750</v>
      </c>
      <c r="G1150" s="701">
        <v>59000</v>
      </c>
    </row>
    <row r="1151" spans="2:7" x14ac:dyDescent="0.2">
      <c r="B1151" s="712">
        <v>41059</v>
      </c>
      <c r="D1151" t="s">
        <v>3321</v>
      </c>
      <c r="E1151" s="713" t="s">
        <v>1035</v>
      </c>
      <c r="G1151" s="701">
        <v>3000</v>
      </c>
    </row>
    <row r="1152" spans="2:7" x14ac:dyDescent="0.2">
      <c r="B1152" s="712">
        <v>41059</v>
      </c>
      <c r="D1152" t="s">
        <v>3322</v>
      </c>
      <c r="E1152" s="713" t="s">
        <v>1035</v>
      </c>
      <c r="G1152" s="701">
        <v>3240</v>
      </c>
    </row>
    <row r="1153" spans="2:7" x14ac:dyDescent="0.2">
      <c r="B1153" s="712">
        <v>41059</v>
      </c>
      <c r="D1153" t="s">
        <v>3332</v>
      </c>
      <c r="E1153" s="713" t="s">
        <v>1035</v>
      </c>
      <c r="G1153" s="701">
        <v>6800</v>
      </c>
    </row>
    <row r="1154" spans="2:7" x14ac:dyDescent="0.2">
      <c r="B1154" s="712">
        <v>41060</v>
      </c>
      <c r="C1154" t="s">
        <v>2758</v>
      </c>
      <c r="E1154" s="713" t="s">
        <v>2707</v>
      </c>
      <c r="G1154" s="701">
        <v>6135</v>
      </c>
    </row>
    <row r="1155" spans="2:7" x14ac:dyDescent="0.2">
      <c r="B1155" s="712">
        <v>41061</v>
      </c>
    </row>
    <row r="1156" spans="2:7" x14ac:dyDescent="0.2">
      <c r="B1156" s="712">
        <v>41062</v>
      </c>
      <c r="C1156" t="s">
        <v>367</v>
      </c>
      <c r="E1156" t="s">
        <v>2707</v>
      </c>
      <c r="G1156" s="701">
        <v>7065</v>
      </c>
    </row>
    <row r="1157" spans="2:7" x14ac:dyDescent="0.2">
      <c r="B1157" s="712">
        <v>41063</v>
      </c>
    </row>
    <row r="1158" spans="2:7" x14ac:dyDescent="0.2">
      <c r="B1158" s="712">
        <v>41064</v>
      </c>
      <c r="C1158" t="s">
        <v>2712</v>
      </c>
      <c r="D1158" t="s">
        <v>2713</v>
      </c>
      <c r="E1158" s="713" t="s">
        <v>2714</v>
      </c>
      <c r="G1158" s="701">
        <v>5080</v>
      </c>
    </row>
    <row r="1159" spans="2:7" x14ac:dyDescent="0.2">
      <c r="B1159" s="712">
        <v>41065</v>
      </c>
      <c r="D1159" t="s">
        <v>898</v>
      </c>
      <c r="E1159" t="s">
        <v>1035</v>
      </c>
      <c r="G1159" s="701">
        <v>795</v>
      </c>
    </row>
    <row r="1160" spans="2:7" x14ac:dyDescent="0.2">
      <c r="B1160" s="712">
        <v>41065</v>
      </c>
      <c r="C1160" t="s">
        <v>3331</v>
      </c>
      <c r="D1160" t="s">
        <v>3330</v>
      </c>
      <c r="E1160" t="s">
        <v>2750</v>
      </c>
      <c r="G1160" s="701">
        <v>1730</v>
      </c>
    </row>
    <row r="1161" spans="2:7" x14ac:dyDescent="0.2">
      <c r="B1161" s="712">
        <v>41065</v>
      </c>
      <c r="C1161" t="s">
        <v>1815</v>
      </c>
      <c r="D1161"/>
      <c r="E1161" t="s">
        <v>2750</v>
      </c>
      <c r="G1161" s="701">
        <v>670</v>
      </c>
    </row>
    <row r="1162" spans="2:7" x14ac:dyDescent="0.2">
      <c r="B1162" s="712">
        <v>41065</v>
      </c>
      <c r="C1162" t="s">
        <v>367</v>
      </c>
      <c r="E1162" t="s">
        <v>2707</v>
      </c>
      <c r="G1162" s="701">
        <v>2830</v>
      </c>
    </row>
    <row r="1163" spans="2:7" x14ac:dyDescent="0.2">
      <c r="B1163" s="712">
        <v>41066</v>
      </c>
      <c r="C1163" t="s">
        <v>2830</v>
      </c>
      <c r="E1163" t="s">
        <v>2707</v>
      </c>
      <c r="G1163" s="701">
        <v>4750</v>
      </c>
    </row>
    <row r="1164" spans="2:7" x14ac:dyDescent="0.2">
      <c r="B1164" s="712">
        <v>41067</v>
      </c>
      <c r="D1164" t="s">
        <v>3332</v>
      </c>
      <c r="E1164" s="713" t="s">
        <v>1035</v>
      </c>
      <c r="G1164" s="701">
        <v>4000</v>
      </c>
    </row>
    <row r="1165" spans="2:7" x14ac:dyDescent="0.2">
      <c r="B1165" s="712">
        <v>41068</v>
      </c>
      <c r="C1165" s="713" t="s">
        <v>2706</v>
      </c>
      <c r="D1165" t="s">
        <v>2784</v>
      </c>
      <c r="E1165" s="713" t="s">
        <v>2700</v>
      </c>
      <c r="G1165" s="701">
        <v>5000</v>
      </c>
    </row>
    <row r="1166" spans="2:7" x14ac:dyDescent="0.2">
      <c r="B1166" s="712">
        <v>41069</v>
      </c>
    </row>
    <row r="1167" spans="2:7" x14ac:dyDescent="0.2">
      <c r="B1167" s="712">
        <v>41070</v>
      </c>
      <c r="C1167" s="713" t="s">
        <v>2706</v>
      </c>
      <c r="D1167" t="s">
        <v>2784</v>
      </c>
      <c r="E1167" s="713" t="s">
        <v>2700</v>
      </c>
      <c r="G1167" s="701">
        <v>10000</v>
      </c>
    </row>
    <row r="1168" spans="2:7" x14ac:dyDescent="0.2">
      <c r="B1168" s="712">
        <v>41071</v>
      </c>
      <c r="D1168" t="s">
        <v>3324</v>
      </c>
      <c r="E1168" t="s">
        <v>2750</v>
      </c>
      <c r="G1168" s="701">
        <v>51000</v>
      </c>
    </row>
    <row r="1169" spans="2:7" x14ac:dyDescent="0.2">
      <c r="B1169" s="712">
        <v>41071</v>
      </c>
      <c r="C1169" t="s">
        <v>367</v>
      </c>
      <c r="E1169" t="s">
        <v>2707</v>
      </c>
      <c r="G1169" s="701">
        <v>10570</v>
      </c>
    </row>
    <row r="1170" spans="2:7" x14ac:dyDescent="0.2">
      <c r="B1170" s="712">
        <v>41072</v>
      </c>
      <c r="D1170" t="s">
        <v>3325</v>
      </c>
      <c r="E1170" t="s">
        <v>2750</v>
      </c>
      <c r="G1170" s="701">
        <v>32350</v>
      </c>
    </row>
    <row r="1171" spans="2:7" x14ac:dyDescent="0.2">
      <c r="B1171" s="712">
        <v>41072</v>
      </c>
      <c r="D1171" t="s">
        <v>3326</v>
      </c>
      <c r="E1171" t="s">
        <v>2750</v>
      </c>
      <c r="G1171" s="701">
        <v>5210</v>
      </c>
    </row>
    <row r="1172" spans="2:7" x14ac:dyDescent="0.2">
      <c r="B1172" s="712">
        <v>41073</v>
      </c>
    </row>
    <row r="1173" spans="2:7" x14ac:dyDescent="0.2">
      <c r="B1173" s="712">
        <v>41074</v>
      </c>
      <c r="C1173" t="s">
        <v>2849</v>
      </c>
      <c r="D1173" s="713" t="s">
        <v>2657</v>
      </c>
      <c r="E1173" s="713" t="s">
        <v>1035</v>
      </c>
      <c r="G1173" s="701">
        <v>24930</v>
      </c>
    </row>
    <row r="1174" spans="2:7" x14ac:dyDescent="0.2">
      <c r="B1174" s="712">
        <v>41074</v>
      </c>
      <c r="C1174" t="s">
        <v>3329</v>
      </c>
      <c r="D1174" s="713" t="s">
        <v>3328</v>
      </c>
      <c r="E1174" s="713" t="s">
        <v>2750</v>
      </c>
      <c r="G1174" s="701">
        <v>5770</v>
      </c>
    </row>
    <row r="1175" spans="2:7" x14ac:dyDescent="0.2">
      <c r="B1175" s="712">
        <v>41075</v>
      </c>
      <c r="C1175" t="s">
        <v>2894</v>
      </c>
      <c r="D1175" s="713" t="s">
        <v>3328</v>
      </c>
      <c r="E1175" s="713" t="s">
        <v>2750</v>
      </c>
      <c r="G1175" s="701">
        <v>2160</v>
      </c>
    </row>
    <row r="1176" spans="2:7" x14ac:dyDescent="0.2">
      <c r="B1176" s="712">
        <v>41075</v>
      </c>
      <c r="C1176" t="s">
        <v>367</v>
      </c>
      <c r="E1176" t="s">
        <v>2707</v>
      </c>
      <c r="G1176" s="701">
        <v>8860</v>
      </c>
    </row>
    <row r="1177" spans="2:7" x14ac:dyDescent="0.2">
      <c r="B1177" s="712">
        <v>41076</v>
      </c>
    </row>
    <row r="1178" spans="2:7" x14ac:dyDescent="0.2">
      <c r="B1178" s="712">
        <v>41077</v>
      </c>
      <c r="C1178" s="726"/>
      <c r="D1178" s="588" t="s">
        <v>3286</v>
      </c>
      <c r="E1178" s="588" t="s">
        <v>1035</v>
      </c>
      <c r="F1178" s="726"/>
      <c r="G1178" s="723">
        <v>-1800</v>
      </c>
    </row>
    <row r="1179" spans="2:7" x14ac:dyDescent="0.2">
      <c r="B1179" s="712">
        <v>41077</v>
      </c>
      <c r="C1179" t="s">
        <v>2712</v>
      </c>
      <c r="D1179" t="s">
        <v>2713</v>
      </c>
      <c r="E1179" s="713" t="s">
        <v>2714</v>
      </c>
      <c r="G1179" s="701">
        <v>2900</v>
      </c>
    </row>
    <row r="1180" spans="2:7" x14ac:dyDescent="0.2">
      <c r="B1180" s="712">
        <v>41077</v>
      </c>
      <c r="C1180" t="s">
        <v>367</v>
      </c>
      <c r="E1180" t="s">
        <v>2707</v>
      </c>
      <c r="G1180" s="701">
        <v>8765</v>
      </c>
    </row>
    <row r="1181" spans="2:7" x14ac:dyDescent="0.2">
      <c r="B1181" s="712">
        <v>41078</v>
      </c>
    </row>
    <row r="1182" spans="2:7" x14ac:dyDescent="0.2">
      <c r="B1182" s="712">
        <v>41079</v>
      </c>
      <c r="D1182" t="s">
        <v>2967</v>
      </c>
      <c r="E1182" t="s">
        <v>1035</v>
      </c>
      <c r="G1182" s="701">
        <v>30500</v>
      </c>
    </row>
    <row r="1183" spans="2:7" x14ac:dyDescent="0.2">
      <c r="B1183" s="712">
        <v>41079</v>
      </c>
      <c r="D1183" t="s">
        <v>3327</v>
      </c>
      <c r="E1183" t="s">
        <v>1035</v>
      </c>
      <c r="G1183" s="701">
        <v>25000</v>
      </c>
    </row>
    <row r="1184" spans="2:7" x14ac:dyDescent="0.2">
      <c r="B1184" s="712">
        <v>41080</v>
      </c>
      <c r="C1184" s="713" t="s">
        <v>2706</v>
      </c>
      <c r="D1184" t="s">
        <v>2784</v>
      </c>
      <c r="E1184" s="713" t="s">
        <v>2700</v>
      </c>
      <c r="G1184" s="701">
        <v>10000</v>
      </c>
    </row>
    <row r="1185" spans="2:7" x14ac:dyDescent="0.2">
      <c r="B1185" s="712">
        <v>41080</v>
      </c>
      <c r="D1185" t="s">
        <v>3140</v>
      </c>
      <c r="E1185" t="s">
        <v>2750</v>
      </c>
      <c r="G1185" s="701">
        <v>22500</v>
      </c>
    </row>
    <row r="1186" spans="2:7" x14ac:dyDescent="0.2">
      <c r="B1186" s="712">
        <v>41081</v>
      </c>
    </row>
    <row r="1187" spans="2:7" x14ac:dyDescent="0.2">
      <c r="B1187" s="712">
        <v>41082</v>
      </c>
    </row>
    <row r="1188" spans="2:7" x14ac:dyDescent="0.2">
      <c r="B1188" s="712">
        <v>41083</v>
      </c>
      <c r="C1188" t="s">
        <v>367</v>
      </c>
      <c r="E1188" t="s">
        <v>2707</v>
      </c>
      <c r="G1188" s="701">
        <v>13480</v>
      </c>
    </row>
    <row r="1189" spans="2:7" x14ac:dyDescent="0.2">
      <c r="B1189" s="712">
        <v>41083</v>
      </c>
      <c r="C1189" t="s">
        <v>2712</v>
      </c>
      <c r="D1189" t="s">
        <v>2713</v>
      </c>
      <c r="E1189" s="713" t="s">
        <v>2714</v>
      </c>
      <c r="G1189" s="701">
        <v>3780</v>
      </c>
    </row>
    <row r="1190" spans="2:7" x14ac:dyDescent="0.2">
      <c r="B1190" s="712">
        <v>41084</v>
      </c>
    </row>
    <row r="1191" spans="2:7" x14ac:dyDescent="0.2">
      <c r="B1191" s="712">
        <v>41085</v>
      </c>
    </row>
    <row r="1192" spans="2:7" x14ac:dyDescent="0.2">
      <c r="B1192" s="712">
        <v>41086</v>
      </c>
      <c r="C1192" t="s">
        <v>2712</v>
      </c>
      <c r="D1192" t="s">
        <v>2713</v>
      </c>
      <c r="E1192" s="713" t="s">
        <v>2714</v>
      </c>
      <c r="G1192" s="701">
        <v>2845</v>
      </c>
    </row>
    <row r="1193" spans="2:7" x14ac:dyDescent="0.2">
      <c r="B1193" s="712">
        <v>41086</v>
      </c>
      <c r="C1193" t="s">
        <v>2894</v>
      </c>
      <c r="D1193" t="s">
        <v>963</v>
      </c>
      <c r="E1193" s="713" t="s">
        <v>2750</v>
      </c>
      <c r="G1193" s="701">
        <v>460</v>
      </c>
    </row>
    <row r="1194" spans="2:7" x14ac:dyDescent="0.2">
      <c r="B1194" s="712">
        <v>41087</v>
      </c>
    </row>
    <row r="1195" spans="2:7" x14ac:dyDescent="0.2">
      <c r="B1195" s="712">
        <v>41088</v>
      </c>
    </row>
    <row r="1196" spans="2:7" x14ac:dyDescent="0.2">
      <c r="B1196" s="712">
        <v>41089</v>
      </c>
    </row>
    <row r="1197" spans="2:7" x14ac:dyDescent="0.2">
      <c r="B1197" s="712">
        <v>41090</v>
      </c>
    </row>
    <row r="1198" spans="2:7" x14ac:dyDescent="0.2">
      <c r="B1198" s="712">
        <v>41091</v>
      </c>
    </row>
    <row r="1199" spans="2:7" x14ac:dyDescent="0.2">
      <c r="B1199" s="712">
        <v>41092</v>
      </c>
    </row>
    <row r="1200" spans="2:7" x14ac:dyDescent="0.2">
      <c r="B1200" s="712">
        <v>41093</v>
      </c>
    </row>
    <row r="1201" spans="2:2" x14ac:dyDescent="0.2">
      <c r="B1201" s="712">
        <v>41094</v>
      </c>
    </row>
    <row r="1202" spans="2:2" x14ac:dyDescent="0.2">
      <c r="B1202" s="712">
        <v>41095</v>
      </c>
    </row>
    <row r="1203" spans="2:2" x14ac:dyDescent="0.2">
      <c r="B1203" s="712">
        <v>41096</v>
      </c>
    </row>
    <row r="1204" spans="2:2" x14ac:dyDescent="0.2">
      <c r="B1204" s="712">
        <v>41097</v>
      </c>
    </row>
    <row r="1205" spans="2:2" x14ac:dyDescent="0.2">
      <c r="B1205" s="712">
        <v>41098</v>
      </c>
    </row>
    <row r="1206" spans="2:2" x14ac:dyDescent="0.2">
      <c r="B1206" s="712">
        <v>41099</v>
      </c>
    </row>
    <row r="1207" spans="2:2" x14ac:dyDescent="0.2">
      <c r="B1207" s="712">
        <v>41100</v>
      </c>
    </row>
    <row r="1208" spans="2:2" x14ac:dyDescent="0.2">
      <c r="B1208" s="712">
        <v>41101</v>
      </c>
    </row>
    <row r="1209" spans="2:2" x14ac:dyDescent="0.2">
      <c r="B1209" s="712">
        <v>41102</v>
      </c>
    </row>
    <row r="1210" spans="2:2" x14ac:dyDescent="0.2">
      <c r="B1210" s="712">
        <v>41103</v>
      </c>
    </row>
    <row r="1211" spans="2:2" x14ac:dyDescent="0.2">
      <c r="B1211" s="712">
        <v>41104</v>
      </c>
    </row>
    <row r="1212" spans="2:2" x14ac:dyDescent="0.2">
      <c r="B1212" s="712">
        <v>41105</v>
      </c>
    </row>
    <row r="1213" spans="2:2" x14ac:dyDescent="0.2">
      <c r="B1213" s="712">
        <v>41106</v>
      </c>
    </row>
    <row r="1214" spans="2:2" x14ac:dyDescent="0.2">
      <c r="B1214" s="712">
        <v>41107</v>
      </c>
    </row>
    <row r="1215" spans="2:2" x14ac:dyDescent="0.2">
      <c r="B1215" s="712">
        <v>41108</v>
      </c>
    </row>
    <row r="1216" spans="2:2" x14ac:dyDescent="0.2">
      <c r="B1216" s="712">
        <v>41109</v>
      </c>
    </row>
    <row r="1217" spans="2:2" x14ac:dyDescent="0.2">
      <c r="B1217" s="712">
        <v>41110</v>
      </c>
    </row>
    <row r="1218" spans="2:2" x14ac:dyDescent="0.2">
      <c r="B1218" s="712">
        <v>41111</v>
      </c>
    </row>
    <row r="1219" spans="2:2" x14ac:dyDescent="0.2">
      <c r="B1219" s="712">
        <v>41112</v>
      </c>
    </row>
    <row r="1220" spans="2:2" x14ac:dyDescent="0.2">
      <c r="B1220" s="712">
        <v>41113</v>
      </c>
    </row>
    <row r="1221" spans="2:2" x14ac:dyDescent="0.2">
      <c r="B1221" s="712">
        <v>41114</v>
      </c>
    </row>
    <row r="1222" spans="2:2" x14ac:dyDescent="0.2">
      <c r="B1222" s="712">
        <v>41115</v>
      </c>
    </row>
    <row r="1223" spans="2:2" x14ac:dyDescent="0.2">
      <c r="B1223" s="712">
        <v>41116</v>
      </c>
    </row>
    <row r="1224" spans="2:2" x14ac:dyDescent="0.2">
      <c r="B1224" s="712">
        <v>41117</v>
      </c>
    </row>
    <row r="1225" spans="2:2" x14ac:dyDescent="0.2">
      <c r="B1225" s="712">
        <v>41118</v>
      </c>
    </row>
    <row r="1226" spans="2:2" x14ac:dyDescent="0.2">
      <c r="B1226" s="712">
        <v>41119</v>
      </c>
    </row>
    <row r="1227" spans="2:2" x14ac:dyDescent="0.2">
      <c r="B1227" s="712">
        <v>41120</v>
      </c>
    </row>
    <row r="1228" spans="2:2" x14ac:dyDescent="0.2">
      <c r="B1228" s="712">
        <v>41121</v>
      </c>
    </row>
    <row r="1229" spans="2:2" x14ac:dyDescent="0.2">
      <c r="B1229" s="712">
        <v>41122</v>
      </c>
    </row>
    <row r="1230" spans="2:2" x14ac:dyDescent="0.2">
      <c r="B1230" s="712">
        <v>41123</v>
      </c>
    </row>
    <row r="1231" spans="2:2" x14ac:dyDescent="0.2">
      <c r="B1231" s="712">
        <v>41124</v>
      </c>
    </row>
    <row r="1232" spans="2:2" x14ac:dyDescent="0.2">
      <c r="B1232" s="712">
        <v>41125</v>
      </c>
    </row>
    <row r="1233" spans="2:2" x14ac:dyDescent="0.2">
      <c r="B1233" s="712">
        <v>41126</v>
      </c>
    </row>
    <row r="1234" spans="2:2" x14ac:dyDescent="0.2">
      <c r="B1234" s="712">
        <v>41127</v>
      </c>
    </row>
    <row r="1235" spans="2:2" x14ac:dyDescent="0.2">
      <c r="B1235" s="712">
        <v>41128</v>
      </c>
    </row>
    <row r="1236" spans="2:2" x14ac:dyDescent="0.2">
      <c r="B1236" s="712">
        <v>41129</v>
      </c>
    </row>
    <row r="1237" spans="2:2" x14ac:dyDescent="0.2">
      <c r="B1237" s="712">
        <v>41130</v>
      </c>
    </row>
    <row r="1238" spans="2:2" x14ac:dyDescent="0.2">
      <c r="B1238" s="712">
        <v>41131</v>
      </c>
    </row>
    <row r="1239" spans="2:2" x14ac:dyDescent="0.2">
      <c r="B1239" s="712">
        <v>41132</v>
      </c>
    </row>
    <row r="1240" spans="2:2" x14ac:dyDescent="0.2">
      <c r="B1240" s="712">
        <v>41133</v>
      </c>
    </row>
    <row r="1241" spans="2:2" x14ac:dyDescent="0.2">
      <c r="B1241" s="712">
        <v>41134</v>
      </c>
    </row>
    <row r="1242" spans="2:2" x14ac:dyDescent="0.2">
      <c r="B1242" s="712">
        <v>41135</v>
      </c>
    </row>
    <row r="1243" spans="2:2" x14ac:dyDescent="0.2">
      <c r="B1243" s="712">
        <v>41136</v>
      </c>
    </row>
    <row r="1244" spans="2:2" x14ac:dyDescent="0.2">
      <c r="B1244" s="712">
        <v>41137</v>
      </c>
    </row>
    <row r="1245" spans="2:2" x14ac:dyDescent="0.2">
      <c r="B1245" s="712">
        <v>41138</v>
      </c>
    </row>
    <row r="1246" spans="2:2" x14ac:dyDescent="0.2">
      <c r="B1246" s="712">
        <v>41139</v>
      </c>
    </row>
    <row r="1247" spans="2:2" x14ac:dyDescent="0.2">
      <c r="B1247" s="712">
        <v>41140</v>
      </c>
    </row>
    <row r="1248" spans="2:2" x14ac:dyDescent="0.2">
      <c r="B1248" s="712">
        <v>41141</v>
      </c>
    </row>
    <row r="1249" spans="2:2" x14ac:dyDescent="0.2">
      <c r="B1249" s="712">
        <v>41142</v>
      </c>
    </row>
    <row r="1250" spans="2:2" x14ac:dyDescent="0.2">
      <c r="B1250" s="712">
        <v>41143</v>
      </c>
    </row>
    <row r="1251" spans="2:2" x14ac:dyDescent="0.2">
      <c r="B1251" s="712">
        <v>41144</v>
      </c>
    </row>
    <row r="1252" spans="2:2" x14ac:dyDescent="0.2">
      <c r="B1252" s="712">
        <v>41145</v>
      </c>
    </row>
    <row r="1253" spans="2:2" x14ac:dyDescent="0.2">
      <c r="B1253" s="712">
        <v>41146</v>
      </c>
    </row>
    <row r="1254" spans="2:2" x14ac:dyDescent="0.2">
      <c r="B1254" s="712">
        <v>41147</v>
      </c>
    </row>
    <row r="1255" spans="2:2" x14ac:dyDescent="0.2">
      <c r="B1255" s="712">
        <v>41148</v>
      </c>
    </row>
    <row r="1256" spans="2:2" x14ac:dyDescent="0.2">
      <c r="B1256" s="712">
        <v>41149</v>
      </c>
    </row>
    <row r="1257" spans="2:2" x14ac:dyDescent="0.2">
      <c r="B1257" s="712">
        <v>41150</v>
      </c>
    </row>
    <row r="1258" spans="2:2" x14ac:dyDescent="0.2">
      <c r="B1258" s="712">
        <v>41151</v>
      </c>
    </row>
    <row r="1259" spans="2:2" x14ac:dyDescent="0.2">
      <c r="B1259" s="712">
        <v>41152</v>
      </c>
    </row>
    <row r="1260" spans="2:2" x14ac:dyDescent="0.2">
      <c r="B1260" s="712">
        <v>41153</v>
      </c>
    </row>
    <row r="1261" spans="2:2" x14ac:dyDescent="0.2">
      <c r="B1261" s="712">
        <v>41154</v>
      </c>
    </row>
    <row r="1262" spans="2:2" x14ac:dyDescent="0.2">
      <c r="B1262" s="712">
        <v>41155</v>
      </c>
    </row>
    <row r="1263" spans="2:2" x14ac:dyDescent="0.2">
      <c r="B1263" s="712">
        <v>41156</v>
      </c>
    </row>
    <row r="1264" spans="2:2" x14ac:dyDescent="0.2">
      <c r="B1264" s="712">
        <v>41157</v>
      </c>
    </row>
    <row r="1265" spans="2:2" x14ac:dyDescent="0.2">
      <c r="B1265" s="712">
        <v>41158</v>
      </c>
    </row>
    <row r="1266" spans="2:2" x14ac:dyDescent="0.2">
      <c r="B1266" s="712">
        <v>41159</v>
      </c>
    </row>
    <row r="1267" spans="2:2" x14ac:dyDescent="0.2">
      <c r="B1267" s="712">
        <v>41160</v>
      </c>
    </row>
    <row r="1268" spans="2:2" x14ac:dyDescent="0.2">
      <c r="B1268" s="712">
        <v>41161</v>
      </c>
    </row>
    <row r="1269" spans="2:2" x14ac:dyDescent="0.2">
      <c r="B1269" s="712">
        <v>41162</v>
      </c>
    </row>
    <row r="1270" spans="2:2" x14ac:dyDescent="0.2">
      <c r="B1270" s="712">
        <v>41163</v>
      </c>
    </row>
    <row r="1271" spans="2:2" x14ac:dyDescent="0.2">
      <c r="B1271" s="712">
        <v>41164</v>
      </c>
    </row>
    <row r="1272" spans="2:2" x14ac:dyDescent="0.2">
      <c r="B1272" s="712">
        <v>41165</v>
      </c>
    </row>
    <row r="1273" spans="2:2" x14ac:dyDescent="0.2">
      <c r="B1273" s="712">
        <v>41166</v>
      </c>
    </row>
    <row r="1274" spans="2:2" x14ac:dyDescent="0.2">
      <c r="B1274" s="712">
        <v>41167</v>
      </c>
    </row>
    <row r="1275" spans="2:2" x14ac:dyDescent="0.2">
      <c r="B1275" s="712">
        <v>41168</v>
      </c>
    </row>
    <row r="1276" spans="2:2" x14ac:dyDescent="0.2">
      <c r="B1276" s="712">
        <v>41169</v>
      </c>
    </row>
    <row r="1277" spans="2:2" x14ac:dyDescent="0.2">
      <c r="B1277" s="712">
        <v>41170</v>
      </c>
    </row>
    <row r="1278" spans="2:2" x14ac:dyDescent="0.2">
      <c r="B1278" s="712">
        <v>41171</v>
      </c>
    </row>
    <row r="1279" spans="2:2" x14ac:dyDescent="0.2">
      <c r="B1279" s="712">
        <v>41172</v>
      </c>
    </row>
    <row r="1280" spans="2:2" x14ac:dyDescent="0.2">
      <c r="B1280" s="712">
        <v>41173</v>
      </c>
    </row>
    <row r="1281" spans="2:2" x14ac:dyDescent="0.2">
      <c r="B1281" s="712">
        <v>41174</v>
      </c>
    </row>
    <row r="1282" spans="2:2" x14ac:dyDescent="0.2">
      <c r="B1282" s="712">
        <v>41175</v>
      </c>
    </row>
    <row r="1283" spans="2:2" x14ac:dyDescent="0.2">
      <c r="B1283" s="712">
        <v>41176</v>
      </c>
    </row>
    <row r="1284" spans="2:2" x14ac:dyDescent="0.2">
      <c r="B1284" s="712">
        <v>41177</v>
      </c>
    </row>
    <row r="1285" spans="2:2" x14ac:dyDescent="0.2">
      <c r="B1285" s="712">
        <v>41178</v>
      </c>
    </row>
    <row r="1286" spans="2:2" x14ac:dyDescent="0.2">
      <c r="B1286" s="712">
        <v>41179</v>
      </c>
    </row>
    <row r="1287" spans="2:2" x14ac:dyDescent="0.2">
      <c r="B1287" s="712">
        <v>41180</v>
      </c>
    </row>
    <row r="1288" spans="2:2" x14ac:dyDescent="0.2">
      <c r="B1288" s="712">
        <v>41181</v>
      </c>
    </row>
    <row r="1289" spans="2:2" x14ac:dyDescent="0.2">
      <c r="B1289" s="712">
        <v>41182</v>
      </c>
    </row>
    <row r="1290" spans="2:2" x14ac:dyDescent="0.2">
      <c r="B1290" s="712">
        <v>41183</v>
      </c>
    </row>
    <row r="1291" spans="2:2" x14ac:dyDescent="0.2">
      <c r="B1291" s="712">
        <v>41184</v>
      </c>
    </row>
    <row r="1292" spans="2:2" x14ac:dyDescent="0.2">
      <c r="B1292" s="712">
        <v>41185</v>
      </c>
    </row>
    <row r="1293" spans="2:2" x14ac:dyDescent="0.2">
      <c r="B1293" s="712">
        <v>41186</v>
      </c>
    </row>
    <row r="1294" spans="2:2" x14ac:dyDescent="0.2">
      <c r="B1294" s="712">
        <v>41187</v>
      </c>
    </row>
    <row r="1295" spans="2:2" x14ac:dyDescent="0.2">
      <c r="B1295" s="712">
        <v>41188</v>
      </c>
    </row>
    <row r="1296" spans="2:2" x14ac:dyDescent="0.2">
      <c r="B1296" s="712">
        <v>41189</v>
      </c>
    </row>
    <row r="1297" spans="2:2" x14ac:dyDescent="0.2">
      <c r="B1297" s="712">
        <v>41190</v>
      </c>
    </row>
    <row r="1298" spans="2:2" x14ac:dyDescent="0.2">
      <c r="B1298" s="712">
        <v>41191</v>
      </c>
    </row>
    <row r="1299" spans="2:2" x14ac:dyDescent="0.2">
      <c r="B1299" s="712">
        <v>41192</v>
      </c>
    </row>
    <row r="1300" spans="2:2" x14ac:dyDescent="0.2">
      <c r="B1300" s="712">
        <v>41193</v>
      </c>
    </row>
    <row r="1301" spans="2:2" x14ac:dyDescent="0.2">
      <c r="B1301" s="712">
        <v>41194</v>
      </c>
    </row>
    <row r="1302" spans="2:2" x14ac:dyDescent="0.2">
      <c r="B1302" s="712">
        <v>41195</v>
      </c>
    </row>
    <row r="1303" spans="2:2" x14ac:dyDescent="0.2">
      <c r="B1303" s="712">
        <v>41196</v>
      </c>
    </row>
    <row r="1304" spans="2:2" x14ac:dyDescent="0.2">
      <c r="B1304" s="712">
        <v>41197</v>
      </c>
    </row>
    <row r="1305" spans="2:2" x14ac:dyDescent="0.2">
      <c r="B1305" s="712">
        <v>41198</v>
      </c>
    </row>
    <row r="1306" spans="2:2" x14ac:dyDescent="0.2">
      <c r="B1306" s="712">
        <v>41199</v>
      </c>
    </row>
    <row r="1307" spans="2:2" x14ac:dyDescent="0.2">
      <c r="B1307" s="712">
        <v>41200</v>
      </c>
    </row>
    <row r="1308" spans="2:2" x14ac:dyDescent="0.2">
      <c r="B1308" s="712">
        <v>41201</v>
      </c>
    </row>
    <row r="1309" spans="2:2" x14ac:dyDescent="0.2">
      <c r="B1309" s="712">
        <v>41202</v>
      </c>
    </row>
    <row r="1310" spans="2:2" x14ac:dyDescent="0.2">
      <c r="B1310" s="712">
        <v>41203</v>
      </c>
    </row>
    <row r="1311" spans="2:2" x14ac:dyDescent="0.2">
      <c r="B1311" s="712">
        <v>41204</v>
      </c>
    </row>
    <row r="1312" spans="2:2" x14ac:dyDescent="0.2">
      <c r="B1312" s="712">
        <v>41205</v>
      </c>
    </row>
    <row r="1313" spans="2:2" x14ac:dyDescent="0.2">
      <c r="B1313" s="712">
        <v>41206</v>
      </c>
    </row>
    <row r="1314" spans="2:2" x14ac:dyDescent="0.2">
      <c r="B1314" s="712">
        <v>41207</v>
      </c>
    </row>
    <row r="1315" spans="2:2" x14ac:dyDescent="0.2">
      <c r="B1315" s="712">
        <v>41208</v>
      </c>
    </row>
    <row r="1316" spans="2:2" x14ac:dyDescent="0.2">
      <c r="B1316" s="712">
        <v>41209</v>
      </c>
    </row>
    <row r="1317" spans="2:2" x14ac:dyDescent="0.2">
      <c r="B1317" s="712">
        <v>41210</v>
      </c>
    </row>
    <row r="1318" spans="2:2" x14ac:dyDescent="0.2">
      <c r="B1318" s="712">
        <v>41211</v>
      </c>
    </row>
    <row r="1319" spans="2:2" x14ac:dyDescent="0.2">
      <c r="B1319" s="712">
        <v>41212</v>
      </c>
    </row>
    <row r="1320" spans="2:2" x14ac:dyDescent="0.2">
      <c r="B1320" s="712">
        <v>41213</v>
      </c>
    </row>
    <row r="1321" spans="2:2" x14ac:dyDescent="0.2">
      <c r="B1321" s="712">
        <v>41214</v>
      </c>
    </row>
    <row r="1322" spans="2:2" x14ac:dyDescent="0.2">
      <c r="B1322" s="712">
        <v>41215</v>
      </c>
    </row>
    <row r="1323" spans="2:2" x14ac:dyDescent="0.2">
      <c r="B1323" s="712">
        <v>41216</v>
      </c>
    </row>
    <row r="1324" spans="2:2" x14ac:dyDescent="0.2">
      <c r="B1324" s="712">
        <v>41217</v>
      </c>
    </row>
    <row r="1325" spans="2:2" x14ac:dyDescent="0.2">
      <c r="B1325" s="712">
        <v>41218</v>
      </c>
    </row>
    <row r="1326" spans="2:2" x14ac:dyDescent="0.2">
      <c r="B1326" s="712">
        <v>41219</v>
      </c>
    </row>
    <row r="1327" spans="2:2" x14ac:dyDescent="0.2">
      <c r="B1327" s="712">
        <v>41220</v>
      </c>
    </row>
    <row r="1328" spans="2:2" x14ac:dyDescent="0.2">
      <c r="B1328" s="712">
        <v>41221</v>
      </c>
    </row>
    <row r="1329" spans="2:2" x14ac:dyDescent="0.2">
      <c r="B1329" s="712">
        <v>41222</v>
      </c>
    </row>
    <row r="1330" spans="2:2" x14ac:dyDescent="0.2">
      <c r="B1330" s="712">
        <v>41223</v>
      </c>
    </row>
    <row r="1331" spans="2:2" x14ac:dyDescent="0.2">
      <c r="B1331" s="712">
        <v>41224</v>
      </c>
    </row>
    <row r="1332" spans="2:2" x14ac:dyDescent="0.2">
      <c r="B1332" s="712">
        <v>41225</v>
      </c>
    </row>
    <row r="1333" spans="2:2" x14ac:dyDescent="0.2">
      <c r="B1333" s="712">
        <v>41226</v>
      </c>
    </row>
    <row r="1334" spans="2:2" x14ac:dyDescent="0.2">
      <c r="B1334" s="712">
        <v>41227</v>
      </c>
    </row>
    <row r="1335" spans="2:2" x14ac:dyDescent="0.2">
      <c r="B1335" s="712">
        <v>41228</v>
      </c>
    </row>
    <row r="1336" spans="2:2" x14ac:dyDescent="0.2">
      <c r="B1336" s="712">
        <v>41229</v>
      </c>
    </row>
    <row r="1337" spans="2:2" x14ac:dyDescent="0.2">
      <c r="B1337" s="712">
        <v>41230</v>
      </c>
    </row>
    <row r="1338" spans="2:2" x14ac:dyDescent="0.2">
      <c r="B1338" s="712">
        <v>41231</v>
      </c>
    </row>
    <row r="1339" spans="2:2" x14ac:dyDescent="0.2">
      <c r="B1339" s="712">
        <v>41232</v>
      </c>
    </row>
    <row r="1340" spans="2:2" x14ac:dyDescent="0.2">
      <c r="B1340" s="712">
        <v>41233</v>
      </c>
    </row>
    <row r="1341" spans="2:2" x14ac:dyDescent="0.2">
      <c r="B1341" s="712">
        <v>41234</v>
      </c>
    </row>
    <row r="1342" spans="2:2" x14ac:dyDescent="0.2">
      <c r="B1342" s="712">
        <v>41235</v>
      </c>
    </row>
    <row r="1343" spans="2:2" x14ac:dyDescent="0.2">
      <c r="B1343" s="712">
        <v>41236</v>
      </c>
    </row>
    <row r="1344" spans="2:2" x14ac:dyDescent="0.2">
      <c r="B1344" s="712">
        <v>41237</v>
      </c>
    </row>
    <row r="1345" spans="2:2" x14ac:dyDescent="0.2">
      <c r="B1345" s="712">
        <v>41238</v>
      </c>
    </row>
    <row r="1346" spans="2:2" x14ac:dyDescent="0.2">
      <c r="B1346" s="712">
        <v>41239</v>
      </c>
    </row>
    <row r="1347" spans="2:2" x14ac:dyDescent="0.2">
      <c r="B1347" s="712">
        <v>41240</v>
      </c>
    </row>
    <row r="1348" spans="2:2" x14ac:dyDescent="0.2">
      <c r="B1348" s="712">
        <v>41241</v>
      </c>
    </row>
    <row r="1349" spans="2:2" x14ac:dyDescent="0.2">
      <c r="B1349" s="712">
        <v>41242</v>
      </c>
    </row>
    <row r="1350" spans="2:2" x14ac:dyDescent="0.2">
      <c r="B1350" s="712">
        <v>41243</v>
      </c>
    </row>
    <row r="1351" spans="2:2" x14ac:dyDescent="0.2">
      <c r="B1351" s="712">
        <v>41244</v>
      </c>
    </row>
    <row r="1352" spans="2:2" x14ac:dyDescent="0.2">
      <c r="B1352" s="712">
        <v>41245</v>
      </c>
    </row>
    <row r="1353" spans="2:2" x14ac:dyDescent="0.2">
      <c r="B1353" s="712">
        <v>41246</v>
      </c>
    </row>
    <row r="1354" spans="2:2" x14ac:dyDescent="0.2">
      <c r="B1354" s="712">
        <v>41247</v>
      </c>
    </row>
    <row r="1355" spans="2:2" x14ac:dyDescent="0.2">
      <c r="B1355" s="712">
        <v>41248</v>
      </c>
    </row>
    <row r="1356" spans="2:2" x14ac:dyDescent="0.2">
      <c r="B1356" s="712">
        <v>41249</v>
      </c>
    </row>
    <row r="1357" spans="2:2" x14ac:dyDescent="0.2">
      <c r="B1357" s="712">
        <v>41250</v>
      </c>
    </row>
    <row r="1358" spans="2:2" x14ac:dyDescent="0.2">
      <c r="B1358" s="712">
        <v>41251</v>
      </c>
    </row>
    <row r="1359" spans="2:2" x14ac:dyDescent="0.2">
      <c r="B1359" s="712">
        <v>41252</v>
      </c>
    </row>
    <row r="1360" spans="2:2" x14ac:dyDescent="0.2">
      <c r="B1360" s="712">
        <v>41253</v>
      </c>
    </row>
    <row r="1361" spans="2:2" x14ac:dyDescent="0.2">
      <c r="B1361" s="712">
        <v>41254</v>
      </c>
    </row>
    <row r="1362" spans="2:2" x14ac:dyDescent="0.2">
      <c r="B1362" s="712">
        <v>41255</v>
      </c>
    </row>
    <row r="1363" spans="2:2" x14ac:dyDescent="0.2">
      <c r="B1363" s="712">
        <v>41256</v>
      </c>
    </row>
    <row r="1364" spans="2:2" x14ac:dyDescent="0.2">
      <c r="B1364" s="712">
        <v>41257</v>
      </c>
    </row>
    <row r="1365" spans="2:2" x14ac:dyDescent="0.2">
      <c r="B1365" s="712">
        <v>41258</v>
      </c>
    </row>
    <row r="1366" spans="2:2" x14ac:dyDescent="0.2">
      <c r="B1366" s="712">
        <v>41259</v>
      </c>
    </row>
    <row r="1367" spans="2:2" x14ac:dyDescent="0.2">
      <c r="B1367" s="712">
        <v>41260</v>
      </c>
    </row>
    <row r="1368" spans="2:2" x14ac:dyDescent="0.2">
      <c r="B1368" s="712">
        <v>41261</v>
      </c>
    </row>
    <row r="1369" spans="2:2" x14ac:dyDescent="0.2">
      <c r="B1369" s="712">
        <v>41262</v>
      </c>
    </row>
    <row r="1370" spans="2:2" x14ac:dyDescent="0.2">
      <c r="B1370" s="712">
        <v>41263</v>
      </c>
    </row>
    <row r="1371" spans="2:2" x14ac:dyDescent="0.2">
      <c r="B1371" s="712">
        <v>41264</v>
      </c>
    </row>
    <row r="1372" spans="2:2" x14ac:dyDescent="0.2">
      <c r="B1372" s="712">
        <v>41265</v>
      </c>
    </row>
    <row r="1373" spans="2:2" x14ac:dyDescent="0.2">
      <c r="B1373" s="712">
        <v>41266</v>
      </c>
    </row>
    <row r="1374" spans="2:2" x14ac:dyDescent="0.2">
      <c r="B1374" s="712">
        <v>41267</v>
      </c>
    </row>
    <row r="1375" spans="2:2" x14ac:dyDescent="0.2">
      <c r="B1375" s="712">
        <v>41268</v>
      </c>
    </row>
    <row r="1376" spans="2:2" x14ac:dyDescent="0.2">
      <c r="B1376" s="712">
        <v>41269</v>
      </c>
    </row>
    <row r="1377" spans="2:2" x14ac:dyDescent="0.2">
      <c r="B1377" s="712">
        <v>41270</v>
      </c>
    </row>
    <row r="1378" spans="2:2" x14ac:dyDescent="0.2">
      <c r="B1378" s="712">
        <v>41271</v>
      </c>
    </row>
    <row r="1379" spans="2:2" x14ac:dyDescent="0.2">
      <c r="B1379" s="712">
        <v>41272</v>
      </c>
    </row>
    <row r="1380" spans="2:2" x14ac:dyDescent="0.2">
      <c r="B1380" s="712">
        <v>41273</v>
      </c>
    </row>
    <row r="1381" spans="2:2" x14ac:dyDescent="0.2">
      <c r="B1381" s="712">
        <v>41274</v>
      </c>
    </row>
    <row r="1382" spans="2:2" x14ac:dyDescent="0.2">
      <c r="B1382" s="712"/>
    </row>
  </sheetData>
  <autoFilter ref="A1:I1381" xr:uid="{00000000-0009-0000-0000-00000B000000}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Munka20">
    <tabColor rgb="FFFF0000"/>
  </sheetPr>
  <dimension ref="A1:K1517"/>
  <sheetViews>
    <sheetView topLeftCell="A1003" zoomScale="70" zoomScaleNormal="70" workbookViewId="0">
      <selection activeCell="E1036" sqref="E1036"/>
    </sheetView>
  </sheetViews>
  <sheetFormatPr defaultRowHeight="12.75" outlineLevelRow="1" x14ac:dyDescent="0.2"/>
  <cols>
    <col min="1" max="1" width="17" style="804" customWidth="1"/>
    <col min="2" max="2" width="16.85546875" style="715" customWidth="1"/>
    <col min="3" max="3" width="15" style="727" customWidth="1"/>
    <col min="4" max="4" width="31.85546875" style="713" customWidth="1"/>
    <col min="5" max="5" width="73.42578125" style="713" bestFit="1" customWidth="1"/>
    <col min="6" max="6" width="22.85546875" style="713" customWidth="1"/>
    <col min="7" max="7" width="7.140625" style="713" customWidth="1"/>
    <col min="8" max="8" width="16.42578125" style="701" customWidth="1"/>
    <col min="9" max="9" width="16.28515625" style="617" bestFit="1" customWidth="1"/>
    <col min="10" max="10" width="15.28515625" style="600" customWidth="1"/>
    <col min="11" max="11" width="15.7109375" style="713" bestFit="1" customWidth="1"/>
    <col min="12" max="16384" width="9.140625" style="713"/>
  </cols>
  <sheetData>
    <row r="1" spans="1:11" s="696" customFormat="1" ht="13.5" thickBot="1" x14ac:dyDescent="0.25">
      <c r="A1" s="800"/>
      <c r="B1" s="694"/>
      <c r="C1" s="695"/>
      <c r="D1" s="696" t="s">
        <v>1343</v>
      </c>
      <c r="E1" s="696" t="s">
        <v>1344</v>
      </c>
      <c r="F1" s="696" t="s">
        <v>1481</v>
      </c>
      <c r="H1" s="697" t="s">
        <v>1341</v>
      </c>
      <c r="I1" s="615"/>
      <c r="J1" s="598" t="s">
        <v>590</v>
      </c>
      <c r="K1" s="696" t="s">
        <v>532</v>
      </c>
    </row>
    <row r="2" spans="1:11" s="700" customFormat="1" ht="13.5" thickBot="1" x14ac:dyDescent="0.25">
      <c r="A2" s="801"/>
      <c r="B2" s="698"/>
      <c r="C2" s="699"/>
      <c r="H2" s="701"/>
      <c r="I2" s="616"/>
      <c r="J2" s="599"/>
    </row>
    <row r="3" spans="1:11" s="700" customFormat="1" x14ac:dyDescent="0.2">
      <c r="A3" s="801"/>
      <c r="B3" s="698"/>
      <c r="C3" s="702">
        <v>2007</v>
      </c>
      <c r="D3" s="703"/>
      <c r="E3" s="703"/>
      <c r="F3" s="703"/>
      <c r="G3" s="703"/>
      <c r="H3" s="851">
        <f>H60</f>
        <v>15021020</v>
      </c>
      <c r="I3" s="616"/>
      <c r="J3" s="599"/>
    </row>
    <row r="4" spans="1:11" s="700" customFormat="1" x14ac:dyDescent="0.2">
      <c r="A4" s="801"/>
      <c r="B4" s="698"/>
      <c r="C4" s="704">
        <v>2008</v>
      </c>
      <c r="D4" s="705"/>
      <c r="E4" s="705"/>
      <c r="F4" s="705"/>
      <c r="G4" s="705"/>
      <c r="H4" s="852">
        <f>H64</f>
        <v>60000</v>
      </c>
      <c r="I4" s="616"/>
      <c r="J4" s="599"/>
    </row>
    <row r="5" spans="1:11" s="700" customFormat="1" x14ac:dyDescent="0.2">
      <c r="A5" s="801"/>
      <c r="B5" s="698"/>
      <c r="C5" s="704">
        <v>2009</v>
      </c>
      <c r="D5" s="705"/>
      <c r="E5" s="705"/>
      <c r="F5" s="705"/>
      <c r="G5" s="705"/>
      <c r="H5" s="852">
        <f>H557</f>
        <v>10594675</v>
      </c>
      <c r="I5" s="616"/>
      <c r="J5" s="599"/>
    </row>
    <row r="6" spans="1:11" s="700" customFormat="1" x14ac:dyDescent="0.2">
      <c r="A6" s="801"/>
      <c r="B6" s="698"/>
      <c r="C6" s="704">
        <v>2010</v>
      </c>
      <c r="D6" s="705"/>
      <c r="E6" s="705"/>
      <c r="F6" s="705"/>
      <c r="G6" s="705"/>
      <c r="H6" s="852">
        <f>H1147</f>
        <v>16322418</v>
      </c>
      <c r="I6" s="616"/>
      <c r="J6" s="599"/>
    </row>
    <row r="7" spans="1:11" s="700" customFormat="1" ht="13.5" thickBot="1" x14ac:dyDescent="0.25">
      <c r="A7" s="801"/>
      <c r="B7" s="698"/>
      <c r="C7" s="706">
        <v>2011</v>
      </c>
      <c r="D7" s="707"/>
      <c r="E7" s="707"/>
      <c r="F7" s="707"/>
      <c r="G7" s="707"/>
      <c r="H7" s="853">
        <f>H1517</f>
        <v>-13110</v>
      </c>
      <c r="I7" s="616"/>
      <c r="J7" s="599" t="s">
        <v>2813</v>
      </c>
    </row>
    <row r="8" spans="1:11" s="753" customFormat="1" x14ac:dyDescent="0.2">
      <c r="A8" s="802"/>
      <c r="B8" s="750"/>
      <c r="C8" s="754"/>
      <c r="D8" s="755"/>
      <c r="E8" s="755"/>
      <c r="F8" s="755"/>
      <c r="G8" s="755"/>
      <c r="H8" s="756"/>
      <c r="I8" s="751"/>
      <c r="J8" s="752"/>
    </row>
    <row r="9" spans="1:11" s="753" customFormat="1" x14ac:dyDescent="0.2">
      <c r="A9" s="802"/>
      <c r="B9" s="750"/>
      <c r="C9" s="754"/>
      <c r="D9" s="755"/>
      <c r="E9" s="755"/>
      <c r="F9" s="755" t="s">
        <v>1622</v>
      </c>
      <c r="G9" s="755"/>
      <c r="H9" s="756">
        <f t="shared" ref="H9:H40" si="0">SUMIF($F$48:$F$1515,F9,$H$48:$H$1515)</f>
        <v>2444757</v>
      </c>
      <c r="I9" s="751"/>
      <c r="J9" s="752"/>
    </row>
    <row r="10" spans="1:11" s="753" customFormat="1" x14ac:dyDescent="0.2">
      <c r="A10" s="802"/>
      <c r="B10" s="750"/>
      <c r="C10" s="754"/>
      <c r="D10" s="755"/>
      <c r="E10" s="755"/>
      <c r="F10" s="755" t="s">
        <v>1508</v>
      </c>
      <c r="G10" s="755"/>
      <c r="H10" s="756">
        <f t="shared" si="0"/>
        <v>343181</v>
      </c>
      <c r="I10" s="751"/>
      <c r="J10" s="752"/>
    </row>
    <row r="11" spans="1:11" s="753" customFormat="1" x14ac:dyDescent="0.2">
      <c r="A11" s="802"/>
      <c r="B11" s="750"/>
      <c r="C11" s="754"/>
      <c r="D11" s="755"/>
      <c r="E11" s="755"/>
      <c r="F11" s="755" t="s">
        <v>1824</v>
      </c>
      <c r="G11" s="755"/>
      <c r="H11" s="756">
        <f t="shared" si="0"/>
        <v>339243</v>
      </c>
      <c r="I11" s="751"/>
      <c r="J11" s="752">
        <v>100000</v>
      </c>
    </row>
    <row r="12" spans="1:11" s="753" customFormat="1" x14ac:dyDescent="0.2">
      <c r="A12" s="802"/>
      <c r="B12" s="750"/>
      <c r="C12" s="754"/>
      <c r="D12" s="755"/>
      <c r="E12" s="755"/>
      <c r="F12" s="783" t="s">
        <v>2463</v>
      </c>
      <c r="G12" s="755"/>
      <c r="H12" s="756">
        <f t="shared" si="0"/>
        <v>269080</v>
      </c>
      <c r="I12" s="751"/>
      <c r="J12" s="752"/>
    </row>
    <row r="13" spans="1:11" s="753" customFormat="1" x14ac:dyDescent="0.2">
      <c r="A13" s="802"/>
      <c r="B13" s="750"/>
      <c r="C13" s="754"/>
      <c r="D13" s="755"/>
      <c r="E13" s="755"/>
      <c r="F13" s="755" t="s">
        <v>646</v>
      </c>
      <c r="G13" s="755"/>
      <c r="H13" s="756">
        <f t="shared" si="0"/>
        <v>1316057</v>
      </c>
      <c r="I13" s="751"/>
      <c r="J13" s="752"/>
    </row>
    <row r="14" spans="1:11" s="753" customFormat="1" x14ac:dyDescent="0.2">
      <c r="A14" s="802"/>
      <c r="B14" s="750"/>
      <c r="C14" s="754"/>
      <c r="D14" s="755"/>
      <c r="E14" s="755"/>
      <c r="F14" s="854" t="s">
        <v>2222</v>
      </c>
      <c r="G14" s="854"/>
      <c r="H14" s="855">
        <f t="shared" si="0"/>
        <v>140859</v>
      </c>
      <c r="I14" s="751"/>
      <c r="J14" s="752"/>
    </row>
    <row r="15" spans="1:11" s="753" customFormat="1" x14ac:dyDescent="0.2">
      <c r="A15" s="802"/>
      <c r="B15" s="750"/>
      <c r="C15" s="754"/>
      <c r="D15" s="755"/>
      <c r="E15" s="755"/>
      <c r="F15" s="854" t="s">
        <v>1513</v>
      </c>
      <c r="G15" s="854"/>
      <c r="H15" s="855">
        <f t="shared" si="0"/>
        <v>129590</v>
      </c>
      <c r="I15" s="751"/>
      <c r="J15" s="752"/>
    </row>
    <row r="16" spans="1:11" s="753" customFormat="1" x14ac:dyDescent="0.2">
      <c r="A16" s="802"/>
      <c r="B16" s="750"/>
      <c r="C16" s="754"/>
      <c r="D16" s="755"/>
      <c r="E16" s="755"/>
      <c r="F16" s="755" t="s">
        <v>1896</v>
      </c>
      <c r="G16" s="755"/>
      <c r="H16" s="756">
        <f t="shared" si="0"/>
        <v>1711073</v>
      </c>
      <c r="I16" s="751"/>
      <c r="J16" s="752"/>
    </row>
    <row r="17" spans="1:10" s="753" customFormat="1" x14ac:dyDescent="0.2">
      <c r="A17" s="802"/>
      <c r="B17" s="750"/>
      <c r="C17" s="754"/>
      <c r="D17" s="755"/>
      <c r="E17" s="755"/>
      <c r="F17" s="755" t="s">
        <v>437</v>
      </c>
      <c r="G17" s="755"/>
      <c r="H17" s="756">
        <f t="shared" si="0"/>
        <v>440390</v>
      </c>
      <c r="I17" s="751"/>
      <c r="J17" s="752"/>
    </row>
    <row r="18" spans="1:10" s="753" customFormat="1" x14ac:dyDescent="0.2">
      <c r="A18" s="802"/>
      <c r="B18" s="750"/>
      <c r="C18" s="754"/>
      <c r="D18" s="755"/>
      <c r="E18" s="755"/>
      <c r="F18" s="755" t="s">
        <v>84</v>
      </c>
      <c r="G18" s="755"/>
      <c r="H18" s="756">
        <f t="shared" si="0"/>
        <v>1827904</v>
      </c>
      <c r="I18" s="751"/>
      <c r="J18" s="752"/>
    </row>
    <row r="19" spans="1:10" s="753" customFormat="1" x14ac:dyDescent="0.2">
      <c r="A19" s="802"/>
      <c r="B19" s="750"/>
      <c r="C19" s="754"/>
      <c r="D19" s="755"/>
      <c r="E19" s="755"/>
      <c r="F19" s="755" t="s">
        <v>987</v>
      </c>
      <c r="G19" s="755"/>
      <c r="H19" s="756">
        <f t="shared" si="0"/>
        <v>120000</v>
      </c>
      <c r="I19" s="751"/>
      <c r="J19" s="752"/>
    </row>
    <row r="20" spans="1:10" s="753" customFormat="1" x14ac:dyDescent="0.2">
      <c r="A20" s="802"/>
      <c r="B20" s="750"/>
      <c r="C20" s="754"/>
      <c r="D20" s="755"/>
      <c r="E20" s="755"/>
      <c r="F20" s="755" t="s">
        <v>1166</v>
      </c>
      <c r="G20" s="755"/>
      <c r="H20" s="756">
        <f t="shared" si="0"/>
        <v>2412690</v>
      </c>
      <c r="I20" s="751"/>
      <c r="J20" s="752">
        <v>1000000</v>
      </c>
    </row>
    <row r="21" spans="1:10" s="753" customFormat="1" x14ac:dyDescent="0.2">
      <c r="A21" s="802"/>
      <c r="B21" s="750"/>
      <c r="C21" s="754"/>
      <c r="D21" s="755"/>
      <c r="E21" s="755"/>
      <c r="F21" s="854" t="s">
        <v>952</v>
      </c>
      <c r="G21" s="854"/>
      <c r="H21" s="855">
        <f t="shared" si="0"/>
        <v>91780</v>
      </c>
      <c r="I21" s="751"/>
    </row>
    <row r="22" spans="1:10" s="753" customFormat="1" x14ac:dyDescent="0.2">
      <c r="A22" s="802"/>
      <c r="B22" s="750"/>
      <c r="C22" s="754"/>
      <c r="D22" s="755"/>
      <c r="E22" s="755"/>
      <c r="F22" s="755" t="s">
        <v>1128</v>
      </c>
      <c r="G22" s="755"/>
      <c r="H22" s="756">
        <f t="shared" si="0"/>
        <v>250950</v>
      </c>
      <c r="I22" s="751"/>
      <c r="J22" s="752">
        <v>50000</v>
      </c>
    </row>
    <row r="23" spans="1:10" s="753" customFormat="1" x14ac:dyDescent="0.2">
      <c r="A23" s="802"/>
      <c r="B23" s="750"/>
      <c r="C23" s="754"/>
      <c r="D23" s="755"/>
      <c r="E23" s="755"/>
      <c r="F23" s="854" t="s">
        <v>485</v>
      </c>
      <c r="G23" s="854"/>
      <c r="H23" s="855">
        <f t="shared" si="0"/>
        <v>837380</v>
      </c>
      <c r="I23" s="751"/>
      <c r="J23" s="752">
        <f>H23</f>
        <v>837380</v>
      </c>
    </row>
    <row r="24" spans="1:10" s="753" customFormat="1" x14ac:dyDescent="0.2">
      <c r="A24" s="802"/>
      <c r="B24" s="750"/>
      <c r="C24" s="754"/>
      <c r="D24" s="755"/>
      <c r="E24" s="755"/>
      <c r="F24" s="755" t="s">
        <v>1718</v>
      </c>
      <c r="G24" s="755"/>
      <c r="H24" s="756">
        <f t="shared" si="0"/>
        <v>23291</v>
      </c>
      <c r="I24" s="751"/>
      <c r="J24" s="752"/>
    </row>
    <row r="25" spans="1:10" s="753" customFormat="1" x14ac:dyDescent="0.2">
      <c r="A25" s="802"/>
      <c r="B25" s="750"/>
      <c r="C25" s="754"/>
      <c r="D25" s="755"/>
      <c r="E25" s="755"/>
      <c r="F25" s="865" t="s">
        <v>631</v>
      </c>
      <c r="G25" s="865"/>
      <c r="H25" s="821">
        <f t="shared" si="0"/>
        <v>678297</v>
      </c>
      <c r="I25" s="751"/>
      <c r="J25" s="752"/>
    </row>
    <row r="26" spans="1:10" s="753" customFormat="1" x14ac:dyDescent="0.2">
      <c r="A26" s="802"/>
      <c r="B26" s="750"/>
      <c r="C26" s="754"/>
      <c r="D26" s="755"/>
      <c r="E26" s="755"/>
      <c r="F26" s="854" t="s">
        <v>1540</v>
      </c>
      <c r="G26" s="854"/>
      <c r="H26" s="855">
        <f t="shared" si="0"/>
        <v>181710</v>
      </c>
      <c r="I26" s="751"/>
      <c r="J26" s="752"/>
    </row>
    <row r="27" spans="1:10" s="753" customFormat="1" x14ac:dyDescent="0.2">
      <c r="A27" s="802"/>
      <c r="B27" s="750"/>
      <c r="C27" s="754"/>
      <c r="D27" s="755"/>
      <c r="E27" s="755"/>
      <c r="F27" s="783" t="s">
        <v>2436</v>
      </c>
      <c r="G27" s="755"/>
      <c r="H27" s="821">
        <f t="shared" si="0"/>
        <v>112605</v>
      </c>
      <c r="I27" s="751"/>
      <c r="J27" s="752"/>
    </row>
    <row r="28" spans="1:10" s="753" customFormat="1" x14ac:dyDescent="0.2">
      <c r="A28" s="802"/>
      <c r="B28" s="750"/>
      <c r="C28" s="754"/>
      <c r="D28" s="755"/>
      <c r="E28" s="755"/>
      <c r="F28" s="755" t="s">
        <v>1309</v>
      </c>
      <c r="G28" s="755"/>
      <c r="H28" s="756">
        <f t="shared" si="0"/>
        <v>2519321</v>
      </c>
      <c r="I28" s="751"/>
      <c r="J28" s="752">
        <v>1000000</v>
      </c>
    </row>
    <row r="29" spans="1:10" s="753" customFormat="1" x14ac:dyDescent="0.2">
      <c r="A29" s="802"/>
      <c r="B29" s="750"/>
      <c r="C29" s="754"/>
      <c r="D29" s="755"/>
      <c r="E29" s="755"/>
      <c r="F29" s="755" t="s">
        <v>836</v>
      </c>
      <c r="G29" s="755"/>
      <c r="H29" s="756">
        <f t="shared" si="0"/>
        <v>239778</v>
      </c>
      <c r="I29" s="751"/>
      <c r="J29" s="752"/>
    </row>
    <row r="30" spans="1:10" s="753" customFormat="1" x14ac:dyDescent="0.2">
      <c r="A30" s="802"/>
      <c r="B30" s="750"/>
      <c r="C30" s="754"/>
      <c r="D30" s="755"/>
      <c r="E30" s="755"/>
      <c r="F30" s="755" t="s">
        <v>1107</v>
      </c>
      <c r="G30" s="755"/>
      <c r="H30" s="756">
        <f t="shared" si="0"/>
        <v>783282</v>
      </c>
      <c r="I30" s="751"/>
      <c r="J30" s="752">
        <f>H30</f>
        <v>783282</v>
      </c>
    </row>
    <row r="31" spans="1:10" s="753" customFormat="1" x14ac:dyDescent="0.2">
      <c r="A31" s="802"/>
      <c r="B31" s="750"/>
      <c r="C31" s="754"/>
      <c r="D31" s="755"/>
      <c r="E31" s="755"/>
      <c r="F31" s="854" t="s">
        <v>1653</v>
      </c>
      <c r="G31" s="854"/>
      <c r="H31" s="855">
        <f t="shared" si="0"/>
        <v>449736</v>
      </c>
      <c r="I31" s="751"/>
      <c r="J31" s="752">
        <f>H31</f>
        <v>449736</v>
      </c>
    </row>
    <row r="32" spans="1:10" s="753" customFormat="1" x14ac:dyDescent="0.2">
      <c r="A32" s="802"/>
      <c r="B32" s="750"/>
      <c r="C32" s="754"/>
      <c r="D32" s="755"/>
      <c r="E32" s="755"/>
      <c r="F32" s="755" t="s">
        <v>1363</v>
      </c>
      <c r="G32" s="755"/>
      <c r="H32" s="756">
        <f t="shared" si="0"/>
        <v>2360519</v>
      </c>
      <c r="I32" s="751"/>
      <c r="J32" s="752">
        <v>1000000</v>
      </c>
    </row>
    <row r="33" spans="1:10" s="753" customFormat="1" x14ac:dyDescent="0.2">
      <c r="A33" s="802"/>
      <c r="B33" s="750"/>
      <c r="C33" s="754"/>
      <c r="D33" s="755"/>
      <c r="E33" s="755"/>
      <c r="F33" s="854" t="s">
        <v>1482</v>
      </c>
      <c r="G33" s="854"/>
      <c r="H33" s="855">
        <f t="shared" si="0"/>
        <v>15189165</v>
      </c>
      <c r="I33" s="751"/>
      <c r="J33" s="752"/>
    </row>
    <row r="34" spans="1:10" s="753" customFormat="1" x14ac:dyDescent="0.2">
      <c r="A34" s="802"/>
      <c r="B34" s="750"/>
      <c r="C34" s="754"/>
      <c r="D34" s="755"/>
      <c r="E34" s="755"/>
      <c r="F34" s="755" t="s">
        <v>102</v>
      </c>
      <c r="G34" s="755"/>
      <c r="H34" s="756">
        <f t="shared" si="0"/>
        <v>3119278</v>
      </c>
      <c r="I34" s="751"/>
      <c r="J34" s="752">
        <v>300000</v>
      </c>
    </row>
    <row r="35" spans="1:10" s="753" customFormat="1" x14ac:dyDescent="0.2">
      <c r="A35" s="802"/>
      <c r="B35" s="750"/>
      <c r="C35" s="754"/>
      <c r="D35" s="755"/>
      <c r="E35" s="755"/>
      <c r="F35" s="755" t="s">
        <v>1977</v>
      </c>
      <c r="G35" s="755"/>
      <c r="H35" s="756">
        <f t="shared" si="0"/>
        <v>839125</v>
      </c>
      <c r="I35" s="751"/>
      <c r="J35" s="752">
        <v>200000</v>
      </c>
    </row>
    <row r="36" spans="1:10" s="753" customFormat="1" x14ac:dyDescent="0.2">
      <c r="A36" s="802"/>
      <c r="B36" s="750"/>
      <c r="C36" s="754"/>
      <c r="D36" s="755"/>
      <c r="E36" s="755"/>
      <c r="F36" s="755" t="s">
        <v>1740</v>
      </c>
      <c r="G36" s="755"/>
      <c r="H36" s="756">
        <f t="shared" si="0"/>
        <v>433938</v>
      </c>
      <c r="I36" s="751"/>
      <c r="J36" s="752"/>
    </row>
    <row r="37" spans="1:10" s="753" customFormat="1" x14ac:dyDescent="0.2">
      <c r="A37" s="802"/>
      <c r="B37" s="750"/>
      <c r="C37" s="754"/>
      <c r="D37" s="755"/>
      <c r="E37" s="755"/>
      <c r="F37" s="854" t="s">
        <v>1937</v>
      </c>
      <c r="G37" s="854"/>
      <c r="H37" s="855">
        <f t="shared" si="0"/>
        <v>360216</v>
      </c>
      <c r="I37" s="751"/>
      <c r="J37" s="752">
        <f>H37</f>
        <v>360216</v>
      </c>
    </row>
    <row r="38" spans="1:10" s="753" customFormat="1" x14ac:dyDescent="0.2">
      <c r="A38" s="802"/>
      <c r="B38" s="750"/>
      <c r="C38" s="754"/>
      <c r="D38" s="755"/>
      <c r="E38" s="755"/>
      <c r="F38" s="755" t="s">
        <v>576</v>
      </c>
      <c r="G38" s="755"/>
      <c r="H38" s="756">
        <f t="shared" si="0"/>
        <v>476645</v>
      </c>
      <c r="I38" s="751"/>
      <c r="J38" s="752"/>
    </row>
    <row r="39" spans="1:10" s="753" customFormat="1" x14ac:dyDescent="0.2">
      <c r="A39" s="802"/>
      <c r="B39" s="750"/>
      <c r="C39" s="754"/>
      <c r="D39" s="755"/>
      <c r="E39" s="755"/>
      <c r="F39" s="755" t="s">
        <v>1262</v>
      </c>
      <c r="G39" s="755"/>
      <c r="H39" s="756">
        <f t="shared" si="0"/>
        <v>1177343</v>
      </c>
      <c r="I39" s="751"/>
      <c r="J39" s="752">
        <v>400000</v>
      </c>
    </row>
    <row r="40" spans="1:10" s="753" customFormat="1" x14ac:dyDescent="0.2">
      <c r="A40" s="802"/>
      <c r="B40" s="750"/>
      <c r="C40" s="754"/>
      <c r="D40" s="755"/>
      <c r="E40" s="755"/>
      <c r="F40" s="755" t="s">
        <v>1503</v>
      </c>
      <c r="G40" s="755"/>
      <c r="H40" s="756">
        <f t="shared" si="0"/>
        <v>245260</v>
      </c>
      <c r="I40" s="751"/>
      <c r="J40" s="752"/>
    </row>
    <row r="41" spans="1:10" s="753" customFormat="1" x14ac:dyDescent="0.2">
      <c r="A41" s="802"/>
      <c r="B41" s="750"/>
      <c r="C41" s="754"/>
      <c r="D41" s="755"/>
      <c r="E41" s="755"/>
      <c r="F41" s="755"/>
      <c r="G41" s="755"/>
      <c r="H41" s="756"/>
      <c r="I41" s="751"/>
      <c r="J41" s="752"/>
    </row>
    <row r="42" spans="1:10" s="753" customFormat="1" ht="13.5" thickBot="1" x14ac:dyDescent="0.25">
      <c r="A42" s="802"/>
      <c r="B42" s="750"/>
      <c r="C42" s="754"/>
      <c r="D42" s="755"/>
      <c r="E42" s="755"/>
      <c r="F42" s="755"/>
      <c r="G42" s="755"/>
      <c r="H42" s="756"/>
      <c r="I42" s="751"/>
      <c r="J42" s="752"/>
    </row>
    <row r="43" spans="1:10" s="753" customFormat="1" ht="16.5" customHeight="1" thickBot="1" x14ac:dyDescent="0.25">
      <c r="A43" s="802"/>
      <c r="B43" s="750"/>
      <c r="C43" s="754"/>
      <c r="D43" s="755"/>
      <c r="E43" s="755"/>
      <c r="F43" s="866" t="s">
        <v>2664</v>
      </c>
      <c r="G43" s="867"/>
      <c r="H43" s="868">
        <f>H14+H15+H21+H23+H26+H31+H37+H33</f>
        <v>17380436</v>
      </c>
      <c r="I43" s="751"/>
      <c r="J43" s="752"/>
    </row>
    <row r="44" spans="1:10" s="753" customFormat="1" ht="16.5" customHeight="1" thickBot="1" x14ac:dyDescent="0.25">
      <c r="A44" s="802"/>
      <c r="B44" s="750"/>
      <c r="C44" s="754"/>
      <c r="D44" s="755"/>
      <c r="E44" s="755"/>
      <c r="F44" s="866" t="s">
        <v>2697</v>
      </c>
      <c r="G44" s="867"/>
      <c r="H44" s="868">
        <f>H46-H43</f>
        <v>24604567</v>
      </c>
      <c r="I44" s="751"/>
      <c r="J44" s="752"/>
    </row>
    <row r="45" spans="1:10" s="696" customFormat="1" ht="13.5" thickBot="1" x14ac:dyDescent="0.25">
      <c r="A45" s="800"/>
      <c r="B45" s="694"/>
      <c r="C45" s="709"/>
      <c r="D45" s="710"/>
      <c r="E45" s="710"/>
      <c r="F45" s="710"/>
      <c r="G45" s="710"/>
      <c r="H45" s="710"/>
      <c r="I45" s="615"/>
      <c r="J45" s="598"/>
    </row>
    <row r="46" spans="1:10" s="700" customFormat="1" ht="13.5" thickBot="1" x14ac:dyDescent="0.25">
      <c r="A46" s="801"/>
      <c r="B46" s="698"/>
      <c r="C46" s="706" t="s">
        <v>1556</v>
      </c>
      <c r="D46" s="707"/>
      <c r="E46" s="707"/>
      <c r="F46" s="707"/>
      <c r="G46" s="707"/>
      <c r="H46" s="708">
        <f>SUM(H3:H7)</f>
        <v>41985003</v>
      </c>
      <c r="I46" s="616"/>
      <c r="J46" s="599"/>
    </row>
    <row r="47" spans="1:10" s="700" customFormat="1" x14ac:dyDescent="0.2">
      <c r="A47" s="801"/>
      <c r="B47" s="698"/>
      <c r="C47" s="698"/>
      <c r="D47" s="698"/>
      <c r="E47" s="698"/>
      <c r="F47" s="698"/>
      <c r="G47" s="713"/>
      <c r="H47" s="701"/>
      <c r="I47" s="616"/>
      <c r="J47" s="599"/>
    </row>
    <row r="48" spans="1:10" outlineLevel="1" x14ac:dyDescent="0.2">
      <c r="A48" s="803"/>
      <c r="B48" s="711"/>
      <c r="C48" s="712">
        <v>39083</v>
      </c>
      <c r="D48" s="713" t="s">
        <v>1647</v>
      </c>
      <c r="E48" s="713" t="s">
        <v>1348</v>
      </c>
      <c r="F48" s="713" t="s">
        <v>1482</v>
      </c>
      <c r="H48" s="701">
        <v>70000</v>
      </c>
    </row>
    <row r="49" spans="1:10" outlineLevel="1" x14ac:dyDescent="0.2">
      <c r="A49" s="803"/>
      <c r="B49" s="711"/>
      <c r="C49" s="712">
        <v>39084</v>
      </c>
      <c r="D49" s="713" t="s">
        <v>1647</v>
      </c>
      <c r="E49" s="713" t="s">
        <v>1349</v>
      </c>
      <c r="F49" s="713" t="s">
        <v>1482</v>
      </c>
      <c r="H49" s="701">
        <v>70000</v>
      </c>
    </row>
    <row r="50" spans="1:10" outlineLevel="1" x14ac:dyDescent="0.2">
      <c r="A50" s="803"/>
      <c r="B50" s="711"/>
      <c r="C50" s="712">
        <v>39085</v>
      </c>
      <c r="D50" s="713" t="s">
        <v>1342</v>
      </c>
      <c r="E50" s="713" t="s">
        <v>507</v>
      </c>
      <c r="F50" s="713" t="s">
        <v>1482</v>
      </c>
      <c r="H50" s="701">
        <v>50000</v>
      </c>
    </row>
    <row r="51" spans="1:10" outlineLevel="1" x14ac:dyDescent="0.2">
      <c r="A51" s="803"/>
      <c r="B51" s="711"/>
      <c r="C51" s="712">
        <v>39086</v>
      </c>
      <c r="D51" s="713" t="s">
        <v>1342</v>
      </c>
      <c r="E51" s="713" t="s">
        <v>506</v>
      </c>
      <c r="F51" s="713" t="s">
        <v>1482</v>
      </c>
      <c r="H51" s="701">
        <v>50000</v>
      </c>
    </row>
    <row r="52" spans="1:10" outlineLevel="1" x14ac:dyDescent="0.2">
      <c r="A52" s="803"/>
      <c r="B52" s="711"/>
      <c r="C52" s="712">
        <v>39087</v>
      </c>
      <c r="D52" s="713" t="s">
        <v>898</v>
      </c>
      <c r="E52" s="713" t="s">
        <v>1350</v>
      </c>
      <c r="F52" s="713" t="s">
        <v>1482</v>
      </c>
      <c r="H52" s="701">
        <v>30000</v>
      </c>
    </row>
    <row r="53" spans="1:10" outlineLevel="1" x14ac:dyDescent="0.2">
      <c r="A53" s="803"/>
      <c r="B53" s="711"/>
      <c r="C53" s="712">
        <v>39088</v>
      </c>
      <c r="D53" s="713" t="s">
        <v>898</v>
      </c>
      <c r="E53" s="713" t="s">
        <v>1351</v>
      </c>
      <c r="F53" s="713" t="s">
        <v>1482</v>
      </c>
      <c r="H53" s="701">
        <v>25000</v>
      </c>
    </row>
    <row r="54" spans="1:10" outlineLevel="1" x14ac:dyDescent="0.2">
      <c r="A54" s="803"/>
      <c r="B54" s="711"/>
      <c r="C54" s="712">
        <v>39089</v>
      </c>
      <c r="D54" s="713" t="s">
        <v>1447</v>
      </c>
      <c r="E54" s="713" t="s">
        <v>1648</v>
      </c>
      <c r="F54" s="713" t="s">
        <v>1482</v>
      </c>
      <c r="H54" s="701">
        <v>100000</v>
      </c>
    </row>
    <row r="55" spans="1:10" outlineLevel="1" x14ac:dyDescent="0.2">
      <c r="A55" s="803"/>
      <c r="B55" s="711"/>
      <c r="C55" s="712">
        <v>39090</v>
      </c>
      <c r="D55" s="713" t="s">
        <v>1345</v>
      </c>
      <c r="E55" s="713" t="s">
        <v>1346</v>
      </c>
      <c r="F55" s="713" t="s">
        <v>1482</v>
      </c>
      <c r="G55" s="713" t="s">
        <v>518</v>
      </c>
      <c r="H55" s="701">
        <v>21510</v>
      </c>
    </row>
    <row r="56" spans="1:10" outlineLevel="1" x14ac:dyDescent="0.2">
      <c r="A56" s="803"/>
      <c r="B56" s="711"/>
      <c r="C56" s="712">
        <v>39091</v>
      </c>
      <c r="D56" s="713" t="s">
        <v>1345</v>
      </c>
      <c r="E56" s="713" t="s">
        <v>1346</v>
      </c>
      <c r="F56" s="713" t="s">
        <v>1482</v>
      </c>
      <c r="H56" s="701">
        <v>4510</v>
      </c>
    </row>
    <row r="57" spans="1:10" outlineLevel="1" x14ac:dyDescent="0.2">
      <c r="A57" s="803"/>
      <c r="B57" s="711"/>
      <c r="C57" s="712">
        <v>39092</v>
      </c>
      <c r="E57" t="s">
        <v>2645</v>
      </c>
      <c r="F57" s="713" t="s">
        <v>1482</v>
      </c>
      <c r="H57" s="701">
        <v>7600000</v>
      </c>
    </row>
    <row r="58" spans="1:10" outlineLevel="1" x14ac:dyDescent="0.2">
      <c r="A58" s="803"/>
      <c r="B58" s="711"/>
      <c r="C58" s="712">
        <v>39093</v>
      </c>
      <c r="E58" t="s">
        <v>2646</v>
      </c>
      <c r="F58" s="713" t="s">
        <v>1482</v>
      </c>
      <c r="H58" s="701">
        <v>7000000</v>
      </c>
    </row>
    <row r="59" spans="1:10" ht="13.5" outlineLevel="1" thickBot="1" x14ac:dyDescent="0.25">
      <c r="A59" s="803"/>
      <c r="B59" s="711"/>
      <c r="C59" s="712"/>
      <c r="E59"/>
    </row>
    <row r="60" spans="1:10" s="730" customFormat="1" ht="13.5" thickBot="1" x14ac:dyDescent="0.25">
      <c r="A60" s="808"/>
      <c r="B60" s="728"/>
      <c r="C60" s="729" t="s">
        <v>523</v>
      </c>
      <c r="H60" s="731">
        <f>SUM(H48:H58)</f>
        <v>15021020</v>
      </c>
      <c r="I60" s="732"/>
      <c r="J60" s="733"/>
    </row>
    <row r="61" spans="1:10" s="876" customFormat="1" x14ac:dyDescent="0.2">
      <c r="A61" s="873"/>
      <c r="B61" s="874"/>
      <c r="C61" s="875"/>
      <c r="H61" s="877"/>
      <c r="I61" s="878"/>
      <c r="J61" s="879"/>
    </row>
    <row r="62" spans="1:10" ht="15" customHeight="1" outlineLevel="1" x14ac:dyDescent="0.2">
      <c r="A62" s="803"/>
      <c r="B62" s="711"/>
      <c r="C62" s="712">
        <v>39448</v>
      </c>
      <c r="D62" s="713" t="s">
        <v>1512</v>
      </c>
      <c r="E62" s="713" t="s">
        <v>1514</v>
      </c>
      <c r="F62" s="713" t="s">
        <v>1513</v>
      </c>
      <c r="H62" s="701">
        <v>60000</v>
      </c>
    </row>
    <row r="63" spans="1:10" ht="15" customHeight="1" outlineLevel="1" thickBot="1" x14ac:dyDescent="0.25">
      <c r="A63" s="803"/>
      <c r="B63" s="711"/>
      <c r="C63" s="712"/>
    </row>
    <row r="64" spans="1:10" s="730" customFormat="1" ht="13.5" thickBot="1" x14ac:dyDescent="0.25">
      <c r="A64" s="808"/>
      <c r="B64" s="728"/>
      <c r="C64" s="729" t="s">
        <v>1483</v>
      </c>
      <c r="H64" s="731">
        <f>SUM(H62:H62)</f>
        <v>60000</v>
      </c>
      <c r="I64" s="732"/>
      <c r="J64" s="733"/>
    </row>
    <row r="65" spans="1:10" s="876" customFormat="1" x14ac:dyDescent="0.2">
      <c r="A65" s="873"/>
      <c r="B65" s="874"/>
      <c r="C65" s="875"/>
      <c r="H65" s="877"/>
      <c r="I65" s="878"/>
      <c r="J65" s="879"/>
    </row>
    <row r="66" spans="1:10" outlineLevel="1" x14ac:dyDescent="0.2">
      <c r="C66" s="712">
        <v>39814</v>
      </c>
    </row>
    <row r="67" spans="1:10" outlineLevel="1" x14ac:dyDescent="0.2">
      <c r="C67" s="712">
        <v>39815</v>
      </c>
    </row>
    <row r="68" spans="1:10" outlineLevel="1" x14ac:dyDescent="0.2">
      <c r="C68" s="712">
        <v>39816</v>
      </c>
    </row>
    <row r="69" spans="1:10" outlineLevel="1" x14ac:dyDescent="0.2">
      <c r="C69" s="712">
        <v>39817</v>
      </c>
    </row>
    <row r="70" spans="1:10" outlineLevel="1" x14ac:dyDescent="0.2">
      <c r="C70" s="712">
        <v>39818</v>
      </c>
    </row>
    <row r="71" spans="1:10" outlineLevel="1" x14ac:dyDescent="0.2">
      <c r="C71" s="712">
        <v>39819</v>
      </c>
    </row>
    <row r="72" spans="1:10" outlineLevel="1" x14ac:dyDescent="0.2">
      <c r="C72" s="712">
        <v>39820</v>
      </c>
    </row>
    <row r="73" spans="1:10" outlineLevel="1" x14ac:dyDescent="0.2">
      <c r="C73" s="712">
        <v>39821</v>
      </c>
    </row>
    <row r="74" spans="1:10" outlineLevel="1" x14ac:dyDescent="0.2">
      <c r="C74" s="712">
        <v>39822</v>
      </c>
    </row>
    <row r="75" spans="1:10" outlineLevel="1" x14ac:dyDescent="0.2">
      <c r="C75" s="712">
        <v>39823</v>
      </c>
    </row>
    <row r="76" spans="1:10" outlineLevel="1" x14ac:dyDescent="0.2">
      <c r="C76" s="712">
        <v>39824</v>
      </c>
    </row>
    <row r="77" spans="1:10" outlineLevel="1" x14ac:dyDescent="0.2">
      <c r="C77" s="712">
        <v>39825</v>
      </c>
    </row>
    <row r="78" spans="1:10" outlineLevel="1" x14ac:dyDescent="0.2">
      <c r="C78" s="712">
        <v>39826</v>
      </c>
    </row>
    <row r="79" spans="1:10" outlineLevel="1" x14ac:dyDescent="0.2">
      <c r="C79" s="712">
        <v>39827</v>
      </c>
    </row>
    <row r="80" spans="1:10" outlineLevel="1" x14ac:dyDescent="0.2">
      <c r="C80" s="712">
        <v>39828</v>
      </c>
    </row>
    <row r="81" spans="3:3" outlineLevel="1" x14ac:dyDescent="0.2">
      <c r="C81" s="712">
        <v>39829</v>
      </c>
    </row>
    <row r="82" spans="3:3" outlineLevel="1" x14ac:dyDescent="0.2">
      <c r="C82" s="712">
        <v>39830</v>
      </c>
    </row>
    <row r="83" spans="3:3" outlineLevel="1" x14ac:dyDescent="0.2">
      <c r="C83" s="712">
        <v>39831</v>
      </c>
    </row>
    <row r="84" spans="3:3" outlineLevel="1" x14ac:dyDescent="0.2">
      <c r="C84" s="712">
        <v>39832</v>
      </c>
    </row>
    <row r="85" spans="3:3" outlineLevel="1" x14ac:dyDescent="0.2">
      <c r="C85" s="712">
        <v>39833</v>
      </c>
    </row>
    <row r="86" spans="3:3" outlineLevel="1" x14ac:dyDescent="0.2">
      <c r="C86" s="712">
        <v>39834</v>
      </c>
    </row>
    <row r="87" spans="3:3" outlineLevel="1" x14ac:dyDescent="0.2">
      <c r="C87" s="712">
        <v>39835</v>
      </c>
    </row>
    <row r="88" spans="3:3" outlineLevel="1" x14ac:dyDescent="0.2">
      <c r="C88" s="712">
        <v>39836</v>
      </c>
    </row>
    <row r="89" spans="3:3" outlineLevel="1" x14ac:dyDescent="0.2">
      <c r="C89" s="712">
        <v>39837</v>
      </c>
    </row>
    <row r="90" spans="3:3" outlineLevel="1" x14ac:dyDescent="0.2">
      <c r="C90" s="712">
        <v>39838</v>
      </c>
    </row>
    <row r="91" spans="3:3" outlineLevel="1" x14ac:dyDescent="0.2">
      <c r="C91" s="712">
        <v>39839</v>
      </c>
    </row>
    <row r="92" spans="3:3" outlineLevel="1" x14ac:dyDescent="0.2">
      <c r="C92" s="712">
        <v>39840</v>
      </c>
    </row>
    <row r="93" spans="3:3" outlineLevel="1" x14ac:dyDescent="0.2">
      <c r="C93" s="712">
        <v>39841</v>
      </c>
    </row>
    <row r="94" spans="3:3" outlineLevel="1" x14ac:dyDescent="0.2">
      <c r="C94" s="712">
        <v>39842</v>
      </c>
    </row>
    <row r="95" spans="3:3" outlineLevel="1" x14ac:dyDescent="0.2">
      <c r="C95" s="712">
        <v>39843</v>
      </c>
    </row>
    <row r="96" spans="3:3" outlineLevel="1" x14ac:dyDescent="0.2">
      <c r="C96" s="712">
        <v>39844</v>
      </c>
    </row>
    <row r="97" spans="3:3" outlineLevel="1" x14ac:dyDescent="0.2">
      <c r="C97" s="712">
        <v>39845</v>
      </c>
    </row>
    <row r="98" spans="3:3" outlineLevel="1" x14ac:dyDescent="0.2">
      <c r="C98" s="712">
        <v>39846</v>
      </c>
    </row>
    <row r="99" spans="3:3" outlineLevel="1" x14ac:dyDescent="0.2">
      <c r="C99" s="712">
        <v>39847</v>
      </c>
    </row>
    <row r="100" spans="3:3" outlineLevel="1" x14ac:dyDescent="0.2">
      <c r="C100" s="712">
        <v>39848</v>
      </c>
    </row>
    <row r="101" spans="3:3" outlineLevel="1" x14ac:dyDescent="0.2">
      <c r="C101" s="712">
        <v>39849</v>
      </c>
    </row>
    <row r="102" spans="3:3" outlineLevel="1" x14ac:dyDescent="0.2">
      <c r="C102" s="712">
        <v>39850</v>
      </c>
    </row>
    <row r="103" spans="3:3" outlineLevel="1" x14ac:dyDescent="0.2">
      <c r="C103" s="712">
        <v>39851</v>
      </c>
    </row>
    <row r="104" spans="3:3" outlineLevel="1" x14ac:dyDescent="0.2">
      <c r="C104" s="712">
        <v>39852</v>
      </c>
    </row>
    <row r="105" spans="3:3" outlineLevel="1" x14ac:dyDescent="0.2">
      <c r="C105" s="712">
        <v>39853</v>
      </c>
    </row>
    <row r="106" spans="3:3" outlineLevel="1" x14ac:dyDescent="0.2">
      <c r="C106" s="712">
        <v>39854</v>
      </c>
    </row>
    <row r="107" spans="3:3" outlineLevel="1" x14ac:dyDescent="0.2">
      <c r="C107" s="712">
        <v>39855</v>
      </c>
    </row>
    <row r="108" spans="3:3" outlineLevel="1" x14ac:dyDescent="0.2">
      <c r="C108" s="712">
        <v>39856</v>
      </c>
    </row>
    <row r="109" spans="3:3" outlineLevel="1" x14ac:dyDescent="0.2">
      <c r="C109" s="712">
        <v>39857</v>
      </c>
    </row>
    <row r="110" spans="3:3" outlineLevel="1" x14ac:dyDescent="0.2">
      <c r="C110" s="712">
        <v>39858</v>
      </c>
    </row>
    <row r="111" spans="3:3" outlineLevel="1" x14ac:dyDescent="0.2">
      <c r="C111" s="712">
        <v>39859</v>
      </c>
    </row>
    <row r="112" spans="3:3" outlineLevel="1" x14ac:dyDescent="0.2">
      <c r="C112" s="712">
        <v>39860</v>
      </c>
    </row>
    <row r="113" spans="3:3" outlineLevel="1" x14ac:dyDescent="0.2">
      <c r="C113" s="712">
        <v>39861</v>
      </c>
    </row>
    <row r="114" spans="3:3" outlineLevel="1" x14ac:dyDescent="0.2">
      <c r="C114" s="712">
        <v>39862</v>
      </c>
    </row>
    <row r="115" spans="3:3" outlineLevel="1" x14ac:dyDescent="0.2">
      <c r="C115" s="712">
        <v>39863</v>
      </c>
    </row>
    <row r="116" spans="3:3" outlineLevel="1" x14ac:dyDescent="0.2">
      <c r="C116" s="712">
        <v>39864</v>
      </c>
    </row>
    <row r="117" spans="3:3" outlineLevel="1" x14ac:dyDescent="0.2">
      <c r="C117" s="712">
        <v>39865</v>
      </c>
    </row>
    <row r="118" spans="3:3" outlineLevel="1" x14ac:dyDescent="0.2">
      <c r="C118" s="712">
        <v>39866</v>
      </c>
    </row>
    <row r="119" spans="3:3" outlineLevel="1" x14ac:dyDescent="0.2">
      <c r="C119" s="712">
        <v>39867</v>
      </c>
    </row>
    <row r="120" spans="3:3" outlineLevel="1" x14ac:dyDescent="0.2">
      <c r="C120" s="712">
        <v>39868</v>
      </c>
    </row>
    <row r="121" spans="3:3" outlineLevel="1" x14ac:dyDescent="0.2">
      <c r="C121" s="712">
        <v>39869</v>
      </c>
    </row>
    <row r="122" spans="3:3" outlineLevel="1" x14ac:dyDescent="0.2">
      <c r="C122" s="712">
        <v>39870</v>
      </c>
    </row>
    <row r="123" spans="3:3" outlineLevel="1" x14ac:dyDescent="0.2">
      <c r="C123" s="712">
        <v>39871</v>
      </c>
    </row>
    <row r="124" spans="3:3" outlineLevel="1" x14ac:dyDescent="0.2">
      <c r="C124" s="712">
        <v>39872</v>
      </c>
    </row>
    <row r="125" spans="3:3" outlineLevel="1" x14ac:dyDescent="0.2">
      <c r="C125" s="712">
        <v>39873</v>
      </c>
    </row>
    <row r="126" spans="3:3" outlineLevel="1" x14ac:dyDescent="0.2">
      <c r="C126" s="712">
        <v>39874</v>
      </c>
    </row>
    <row r="127" spans="3:3" outlineLevel="1" x14ac:dyDescent="0.2">
      <c r="C127" s="712">
        <v>39875</v>
      </c>
    </row>
    <row r="128" spans="3:3" outlineLevel="1" x14ac:dyDescent="0.2">
      <c r="C128" s="712">
        <v>39876</v>
      </c>
    </row>
    <row r="129" spans="3:3" outlineLevel="1" x14ac:dyDescent="0.2">
      <c r="C129" s="712">
        <v>39877</v>
      </c>
    </row>
    <row r="130" spans="3:3" outlineLevel="1" x14ac:dyDescent="0.2">
      <c r="C130" s="712">
        <v>39878</v>
      </c>
    </row>
    <row r="131" spans="3:3" outlineLevel="1" x14ac:dyDescent="0.2">
      <c r="C131" s="712">
        <v>39879</v>
      </c>
    </row>
    <row r="132" spans="3:3" outlineLevel="1" x14ac:dyDescent="0.2">
      <c r="C132" s="712">
        <v>39880</v>
      </c>
    </row>
    <row r="133" spans="3:3" outlineLevel="1" x14ac:dyDescent="0.2">
      <c r="C133" s="712">
        <v>39881</v>
      </c>
    </row>
    <row r="134" spans="3:3" outlineLevel="1" x14ac:dyDescent="0.2">
      <c r="C134" s="712">
        <v>39882</v>
      </c>
    </row>
    <row r="135" spans="3:3" outlineLevel="1" x14ac:dyDescent="0.2">
      <c r="C135" s="712">
        <v>39883</v>
      </c>
    </row>
    <row r="136" spans="3:3" outlineLevel="1" x14ac:dyDescent="0.2">
      <c r="C136" s="712">
        <v>39884</v>
      </c>
    </row>
    <row r="137" spans="3:3" outlineLevel="1" x14ac:dyDescent="0.2">
      <c r="C137" s="712">
        <v>39885</v>
      </c>
    </row>
    <row r="138" spans="3:3" outlineLevel="1" x14ac:dyDescent="0.2">
      <c r="C138" s="712">
        <v>39886</v>
      </c>
    </row>
    <row r="139" spans="3:3" outlineLevel="1" x14ac:dyDescent="0.2">
      <c r="C139" s="712">
        <v>39887</v>
      </c>
    </row>
    <row r="140" spans="3:3" outlineLevel="1" x14ac:dyDescent="0.2">
      <c r="C140" s="712">
        <v>39888</v>
      </c>
    </row>
    <row r="141" spans="3:3" outlineLevel="1" x14ac:dyDescent="0.2">
      <c r="C141" s="712">
        <v>39889</v>
      </c>
    </row>
    <row r="142" spans="3:3" outlineLevel="1" x14ac:dyDescent="0.2">
      <c r="C142" s="712">
        <v>39890</v>
      </c>
    </row>
    <row r="143" spans="3:3" outlineLevel="1" x14ac:dyDescent="0.2">
      <c r="C143" s="712">
        <v>39891</v>
      </c>
    </row>
    <row r="144" spans="3:3" outlineLevel="1" x14ac:dyDescent="0.2">
      <c r="C144" s="712">
        <v>39892</v>
      </c>
    </row>
    <row r="145" spans="3:8" outlineLevel="1" x14ac:dyDescent="0.2">
      <c r="C145" s="712">
        <v>39893</v>
      </c>
    </row>
    <row r="146" spans="3:8" outlineLevel="1" x14ac:dyDescent="0.2">
      <c r="C146" s="712">
        <v>39894</v>
      </c>
    </row>
    <row r="147" spans="3:8" outlineLevel="1" x14ac:dyDescent="0.2">
      <c r="C147" s="712">
        <v>39895</v>
      </c>
    </row>
    <row r="148" spans="3:8" outlineLevel="1" x14ac:dyDescent="0.2">
      <c r="C148" s="712">
        <v>39896</v>
      </c>
    </row>
    <row r="149" spans="3:8" outlineLevel="1" x14ac:dyDescent="0.2">
      <c r="C149" s="712">
        <v>39897</v>
      </c>
    </row>
    <row r="150" spans="3:8" outlineLevel="1" x14ac:dyDescent="0.2">
      <c r="C150" s="712">
        <v>39898</v>
      </c>
    </row>
    <row r="151" spans="3:8" outlineLevel="1" x14ac:dyDescent="0.2">
      <c r="C151" s="712">
        <v>39899</v>
      </c>
    </row>
    <row r="152" spans="3:8" outlineLevel="1" x14ac:dyDescent="0.2">
      <c r="C152" s="712">
        <v>39900</v>
      </c>
    </row>
    <row r="153" spans="3:8" outlineLevel="1" x14ac:dyDescent="0.2">
      <c r="C153" s="712">
        <v>39901</v>
      </c>
    </row>
    <row r="154" spans="3:8" outlineLevel="1" x14ac:dyDescent="0.2">
      <c r="C154" s="712">
        <v>39902</v>
      </c>
    </row>
    <row r="155" spans="3:8" outlineLevel="1" x14ac:dyDescent="0.2">
      <c r="C155" s="712">
        <v>39903</v>
      </c>
    </row>
    <row r="156" spans="3:8" outlineLevel="1" x14ac:dyDescent="0.2">
      <c r="C156" s="712">
        <v>39904</v>
      </c>
      <c r="D156" s="713" t="s">
        <v>1345</v>
      </c>
      <c r="E156" s="713" t="s">
        <v>1346</v>
      </c>
      <c r="F156" s="713" t="s">
        <v>1482</v>
      </c>
      <c r="G156" s="713" t="s">
        <v>518</v>
      </c>
      <c r="H156" s="701">
        <v>12500</v>
      </c>
    </row>
    <row r="157" spans="3:8" outlineLevel="1" x14ac:dyDescent="0.2">
      <c r="C157" s="712">
        <v>39904</v>
      </c>
      <c r="D157" s="713" t="s">
        <v>1342</v>
      </c>
      <c r="E157" s="713" t="s">
        <v>1347</v>
      </c>
      <c r="F157" s="713" t="s">
        <v>1482</v>
      </c>
      <c r="G157" s="713" t="s">
        <v>518</v>
      </c>
      <c r="H157" s="701">
        <v>50000</v>
      </c>
    </row>
    <row r="158" spans="3:8" outlineLevel="1" x14ac:dyDescent="0.2">
      <c r="C158" s="712">
        <v>39904</v>
      </c>
      <c r="D158" s="713" t="s">
        <v>1406</v>
      </c>
      <c r="E158" s="713" t="s">
        <v>1407</v>
      </c>
      <c r="F158" s="713" t="s">
        <v>1482</v>
      </c>
      <c r="G158" s="713" t="s">
        <v>518</v>
      </c>
      <c r="H158" s="701">
        <v>5000</v>
      </c>
    </row>
    <row r="159" spans="3:8" outlineLevel="1" x14ac:dyDescent="0.2">
      <c r="C159" s="712">
        <v>39905</v>
      </c>
    </row>
    <row r="160" spans="3:8" outlineLevel="1" x14ac:dyDescent="0.2">
      <c r="C160" s="712">
        <v>39906</v>
      </c>
    </row>
    <row r="161" spans="3:8" outlineLevel="1" x14ac:dyDescent="0.2">
      <c r="C161" s="712">
        <v>39907</v>
      </c>
    </row>
    <row r="162" spans="3:8" outlineLevel="1" x14ac:dyDescent="0.2">
      <c r="C162" s="712">
        <v>39908</v>
      </c>
    </row>
    <row r="163" spans="3:8" outlineLevel="1" x14ac:dyDescent="0.2">
      <c r="C163" s="712">
        <v>39909</v>
      </c>
    </row>
    <row r="164" spans="3:8" outlineLevel="1" x14ac:dyDescent="0.2">
      <c r="C164" s="712">
        <v>39910</v>
      </c>
    </row>
    <row r="165" spans="3:8" outlineLevel="1" x14ac:dyDescent="0.2">
      <c r="C165" s="712">
        <v>39911</v>
      </c>
    </row>
    <row r="166" spans="3:8" outlineLevel="1" x14ac:dyDescent="0.2">
      <c r="C166" s="712">
        <v>39912</v>
      </c>
    </row>
    <row r="167" spans="3:8" outlineLevel="1" x14ac:dyDescent="0.2">
      <c r="C167" s="712">
        <v>39913</v>
      </c>
      <c r="D167" s="713" t="s">
        <v>1345</v>
      </c>
      <c r="E167" s="713" t="s">
        <v>1404</v>
      </c>
      <c r="F167" s="713" t="s">
        <v>1482</v>
      </c>
      <c r="G167" s="713" t="s">
        <v>518</v>
      </c>
      <c r="H167" s="701">
        <v>12000</v>
      </c>
    </row>
    <row r="168" spans="3:8" outlineLevel="1" x14ac:dyDescent="0.2">
      <c r="C168" s="712">
        <v>39914</v>
      </c>
    </row>
    <row r="169" spans="3:8" outlineLevel="1" x14ac:dyDescent="0.2">
      <c r="C169" s="712">
        <v>39915</v>
      </c>
    </row>
    <row r="170" spans="3:8" outlineLevel="1" x14ac:dyDescent="0.2">
      <c r="C170" s="712">
        <v>39916</v>
      </c>
    </row>
    <row r="171" spans="3:8" outlineLevel="1" x14ac:dyDescent="0.2">
      <c r="C171" s="712">
        <v>39917</v>
      </c>
    </row>
    <row r="172" spans="3:8" outlineLevel="1" x14ac:dyDescent="0.2">
      <c r="C172" s="712">
        <v>39918</v>
      </c>
    </row>
    <row r="173" spans="3:8" outlineLevel="1" x14ac:dyDescent="0.2">
      <c r="C173" s="712">
        <v>39919</v>
      </c>
    </row>
    <row r="174" spans="3:8" outlineLevel="1" x14ac:dyDescent="0.2">
      <c r="C174" s="712">
        <v>39920</v>
      </c>
    </row>
    <row r="175" spans="3:8" outlineLevel="1" x14ac:dyDescent="0.2">
      <c r="C175" s="712">
        <v>39921</v>
      </c>
    </row>
    <row r="176" spans="3:8" outlineLevel="1" x14ac:dyDescent="0.2">
      <c r="C176" s="712">
        <v>39922</v>
      </c>
    </row>
    <row r="177" spans="3:8" outlineLevel="1" x14ac:dyDescent="0.2">
      <c r="C177" s="712">
        <v>39923</v>
      </c>
    </row>
    <row r="178" spans="3:8" outlineLevel="1" x14ac:dyDescent="0.2">
      <c r="C178" s="712">
        <v>39924</v>
      </c>
    </row>
    <row r="179" spans="3:8" outlineLevel="1" x14ac:dyDescent="0.2">
      <c r="C179" s="712">
        <v>39925</v>
      </c>
    </row>
    <row r="180" spans="3:8" outlineLevel="1" x14ac:dyDescent="0.2">
      <c r="C180" s="712">
        <v>39926</v>
      </c>
      <c r="D180" s="713" t="s">
        <v>1465</v>
      </c>
      <c r="E180" s="713" t="s">
        <v>1466</v>
      </c>
      <c r="F180" s="713" t="s">
        <v>1482</v>
      </c>
      <c r="G180" s="713" t="s">
        <v>518</v>
      </c>
      <c r="H180" s="701">
        <v>9195</v>
      </c>
    </row>
    <row r="181" spans="3:8" outlineLevel="1" x14ac:dyDescent="0.2">
      <c r="C181" s="712">
        <v>39927</v>
      </c>
    </row>
    <row r="182" spans="3:8" outlineLevel="1" x14ac:dyDescent="0.2">
      <c r="C182" s="712">
        <v>39928</v>
      </c>
    </row>
    <row r="183" spans="3:8" outlineLevel="1" x14ac:dyDescent="0.2">
      <c r="C183" s="712">
        <v>39929</v>
      </c>
    </row>
    <row r="184" spans="3:8" outlineLevel="1" x14ac:dyDescent="0.2">
      <c r="C184" s="712">
        <v>39930</v>
      </c>
    </row>
    <row r="185" spans="3:8" outlineLevel="1" x14ac:dyDescent="0.2">
      <c r="C185" s="712">
        <v>39931</v>
      </c>
    </row>
    <row r="186" spans="3:8" outlineLevel="1" x14ac:dyDescent="0.2">
      <c r="C186" s="712">
        <v>39932</v>
      </c>
    </row>
    <row r="187" spans="3:8" outlineLevel="1" x14ac:dyDescent="0.2">
      <c r="C187" s="712">
        <v>39933</v>
      </c>
    </row>
    <row r="188" spans="3:8" outlineLevel="1" x14ac:dyDescent="0.2">
      <c r="C188" s="712">
        <v>39934</v>
      </c>
    </row>
    <row r="189" spans="3:8" outlineLevel="1" x14ac:dyDescent="0.2">
      <c r="C189" s="712">
        <v>39935</v>
      </c>
    </row>
    <row r="190" spans="3:8" outlineLevel="1" x14ac:dyDescent="0.2">
      <c r="C190" s="712">
        <v>39936</v>
      </c>
    </row>
    <row r="191" spans="3:8" outlineLevel="1" x14ac:dyDescent="0.2">
      <c r="C191" s="712">
        <v>39937</v>
      </c>
    </row>
    <row r="192" spans="3:8" outlineLevel="1" x14ac:dyDescent="0.2">
      <c r="C192" s="712">
        <v>39938</v>
      </c>
    </row>
    <row r="193" spans="3:8" outlineLevel="1" x14ac:dyDescent="0.2">
      <c r="C193" s="712">
        <v>39939</v>
      </c>
    </row>
    <row r="194" spans="3:8" outlineLevel="1" x14ac:dyDescent="0.2">
      <c r="C194" s="712">
        <v>39940</v>
      </c>
    </row>
    <row r="195" spans="3:8" outlineLevel="1" x14ac:dyDescent="0.2">
      <c r="C195" s="712">
        <v>39941</v>
      </c>
    </row>
    <row r="196" spans="3:8" outlineLevel="1" x14ac:dyDescent="0.2">
      <c r="C196" s="712">
        <v>39942</v>
      </c>
    </row>
    <row r="197" spans="3:8" outlineLevel="1" x14ac:dyDescent="0.2">
      <c r="C197" s="712">
        <v>39943</v>
      </c>
    </row>
    <row r="198" spans="3:8" outlineLevel="1" x14ac:dyDescent="0.2">
      <c r="C198" s="712">
        <v>39944</v>
      </c>
      <c r="D198" s="713" t="s">
        <v>1465</v>
      </c>
      <c r="E198" s="713" t="s">
        <v>1516</v>
      </c>
      <c r="F198" s="713" t="s">
        <v>1482</v>
      </c>
      <c r="G198" s="713" t="s">
        <v>518</v>
      </c>
      <c r="H198" s="701">
        <v>1200</v>
      </c>
    </row>
    <row r="199" spans="3:8" outlineLevel="1" x14ac:dyDescent="0.2">
      <c r="C199" s="712">
        <v>39944</v>
      </c>
      <c r="D199" s="713" t="s">
        <v>1345</v>
      </c>
      <c r="E199" s="713" t="s">
        <v>1522</v>
      </c>
      <c r="F199" s="713" t="s">
        <v>1482</v>
      </c>
      <c r="G199" s="713" t="s">
        <v>518</v>
      </c>
      <c r="H199" s="701">
        <v>3000</v>
      </c>
    </row>
    <row r="200" spans="3:8" outlineLevel="1" x14ac:dyDescent="0.2">
      <c r="C200" s="712">
        <v>39944</v>
      </c>
      <c r="D200" s="713" t="s">
        <v>1345</v>
      </c>
      <c r="E200" s="713" t="s">
        <v>1523</v>
      </c>
      <c r="F200" s="713" t="s">
        <v>1482</v>
      </c>
      <c r="G200" s="713" t="s">
        <v>518</v>
      </c>
      <c r="H200" s="701">
        <v>4000</v>
      </c>
    </row>
    <row r="201" spans="3:8" outlineLevel="1" x14ac:dyDescent="0.2">
      <c r="C201" s="712">
        <v>39945</v>
      </c>
    </row>
    <row r="202" spans="3:8" outlineLevel="1" x14ac:dyDescent="0.2">
      <c r="C202" s="712">
        <v>39946</v>
      </c>
    </row>
    <row r="203" spans="3:8" outlineLevel="1" x14ac:dyDescent="0.2">
      <c r="C203" s="712">
        <v>39947</v>
      </c>
    </row>
    <row r="204" spans="3:8" outlineLevel="1" x14ac:dyDescent="0.2">
      <c r="C204" s="712">
        <v>39948</v>
      </c>
    </row>
    <row r="205" spans="3:8" outlineLevel="1" x14ac:dyDescent="0.2">
      <c r="C205" s="712">
        <v>39949</v>
      </c>
    </row>
    <row r="206" spans="3:8" outlineLevel="1" x14ac:dyDescent="0.2">
      <c r="C206" s="712">
        <v>39950</v>
      </c>
    </row>
    <row r="207" spans="3:8" outlineLevel="1" x14ac:dyDescent="0.2">
      <c r="C207" s="712">
        <v>39951</v>
      </c>
    </row>
    <row r="208" spans="3:8" outlineLevel="1" x14ac:dyDescent="0.2">
      <c r="C208" s="712">
        <v>39952</v>
      </c>
    </row>
    <row r="209" spans="3:8" outlineLevel="1" x14ac:dyDescent="0.2">
      <c r="C209" s="712">
        <v>39953</v>
      </c>
    </row>
    <row r="210" spans="3:8" outlineLevel="1" x14ac:dyDescent="0.2">
      <c r="C210" s="712">
        <v>39954</v>
      </c>
    </row>
    <row r="211" spans="3:8" outlineLevel="1" x14ac:dyDescent="0.2">
      <c r="C211" s="712">
        <v>39955</v>
      </c>
    </row>
    <row r="212" spans="3:8" outlineLevel="1" x14ac:dyDescent="0.2">
      <c r="C212" s="712">
        <v>39956</v>
      </c>
    </row>
    <row r="213" spans="3:8" outlineLevel="1" x14ac:dyDescent="0.2">
      <c r="C213" s="712">
        <v>39957</v>
      </c>
    </row>
    <row r="214" spans="3:8" outlineLevel="1" x14ac:dyDescent="0.2">
      <c r="C214" s="712">
        <v>39958</v>
      </c>
      <c r="D214" s="713" t="s">
        <v>1542</v>
      </c>
      <c r="E214" s="713" t="s">
        <v>1541</v>
      </c>
      <c r="F214" s="713" t="s">
        <v>1513</v>
      </c>
      <c r="G214" s="713" t="s">
        <v>518</v>
      </c>
      <c r="H214" s="701">
        <v>7390</v>
      </c>
    </row>
    <row r="215" spans="3:8" outlineLevel="1" x14ac:dyDescent="0.2">
      <c r="C215" s="712">
        <v>39959</v>
      </c>
    </row>
    <row r="216" spans="3:8" outlineLevel="1" x14ac:dyDescent="0.2">
      <c r="C216" s="712">
        <v>39960</v>
      </c>
      <c r="D216" s="713" t="s">
        <v>1406</v>
      </c>
      <c r="E216" s="713" t="s">
        <v>1407</v>
      </c>
      <c r="F216" s="713" t="s">
        <v>1513</v>
      </c>
      <c r="G216" s="713" t="s">
        <v>518</v>
      </c>
      <c r="H216" s="701">
        <v>20000</v>
      </c>
    </row>
    <row r="217" spans="3:8" outlineLevel="1" x14ac:dyDescent="0.2">
      <c r="C217" s="712">
        <v>39960</v>
      </c>
      <c r="D217" s="713" t="s">
        <v>1406</v>
      </c>
      <c r="E217" s="713" t="s">
        <v>1407</v>
      </c>
      <c r="F217" s="713" t="s">
        <v>1513</v>
      </c>
      <c r="G217" s="713" t="s">
        <v>518</v>
      </c>
      <c r="H217" s="701">
        <v>2200</v>
      </c>
    </row>
    <row r="218" spans="3:8" outlineLevel="1" x14ac:dyDescent="0.2">
      <c r="C218" s="712">
        <v>39961</v>
      </c>
    </row>
    <row r="219" spans="3:8" outlineLevel="1" x14ac:dyDescent="0.2">
      <c r="C219" s="712">
        <v>39962</v>
      </c>
      <c r="D219" s="713" t="s">
        <v>1512</v>
      </c>
      <c r="E219" s="713" t="s">
        <v>1514</v>
      </c>
      <c r="F219" s="713" t="s">
        <v>1513</v>
      </c>
      <c r="H219" s="701">
        <v>40000</v>
      </c>
    </row>
    <row r="220" spans="3:8" outlineLevel="1" x14ac:dyDescent="0.2">
      <c r="C220" s="712">
        <v>39963</v>
      </c>
    </row>
    <row r="221" spans="3:8" outlineLevel="1" x14ac:dyDescent="0.2">
      <c r="C221" s="712">
        <v>39964</v>
      </c>
    </row>
    <row r="222" spans="3:8" outlineLevel="1" x14ac:dyDescent="0.2">
      <c r="C222" s="712">
        <v>39965</v>
      </c>
    </row>
    <row r="223" spans="3:8" outlineLevel="1" x14ac:dyDescent="0.2">
      <c r="C223" s="712">
        <v>39966</v>
      </c>
    </row>
    <row r="224" spans="3:8" outlineLevel="1" x14ac:dyDescent="0.2">
      <c r="C224" s="712">
        <v>39967</v>
      </c>
      <c r="D224" s="713" t="s">
        <v>125</v>
      </c>
      <c r="E224" s="713" t="s">
        <v>126</v>
      </c>
      <c r="F224" s="713" t="s">
        <v>1540</v>
      </c>
      <c r="H224" s="701">
        <v>30000</v>
      </c>
    </row>
    <row r="225" spans="3:8" outlineLevel="1" x14ac:dyDescent="0.2">
      <c r="C225" s="712">
        <v>39967</v>
      </c>
      <c r="D225" s="713" t="s">
        <v>125</v>
      </c>
      <c r="E225" s="713" t="s">
        <v>1522</v>
      </c>
      <c r="F225" s="713" t="s">
        <v>1540</v>
      </c>
      <c r="H225" s="701">
        <v>3000</v>
      </c>
    </row>
    <row r="226" spans="3:8" outlineLevel="1" x14ac:dyDescent="0.2">
      <c r="C226" s="712">
        <v>39967</v>
      </c>
      <c r="D226" s="713" t="s">
        <v>125</v>
      </c>
      <c r="E226" s="713" t="s">
        <v>1523</v>
      </c>
      <c r="F226" s="713" t="s">
        <v>1540</v>
      </c>
      <c r="H226" s="701">
        <v>4000</v>
      </c>
    </row>
    <row r="227" spans="3:8" outlineLevel="1" x14ac:dyDescent="0.2">
      <c r="C227" s="712">
        <v>39968</v>
      </c>
    </row>
    <row r="228" spans="3:8" outlineLevel="1" x14ac:dyDescent="0.2">
      <c r="C228" s="712">
        <v>39969</v>
      </c>
    </row>
    <row r="229" spans="3:8" outlineLevel="1" x14ac:dyDescent="0.2">
      <c r="C229" s="712">
        <v>39970</v>
      </c>
    </row>
    <row r="230" spans="3:8" outlineLevel="1" x14ac:dyDescent="0.2">
      <c r="C230" s="712">
        <v>39971</v>
      </c>
    </row>
    <row r="231" spans="3:8" outlineLevel="1" x14ac:dyDescent="0.2">
      <c r="C231" s="712">
        <v>39972</v>
      </c>
      <c r="D231" s="713" t="s">
        <v>1440</v>
      </c>
      <c r="E231" s="713" t="s">
        <v>1555</v>
      </c>
      <c r="F231" s="713" t="s">
        <v>1937</v>
      </c>
      <c r="H231" s="701">
        <v>100000</v>
      </c>
    </row>
    <row r="232" spans="3:8" outlineLevel="1" x14ac:dyDescent="0.2">
      <c r="C232" s="712">
        <v>39973</v>
      </c>
    </row>
    <row r="233" spans="3:8" outlineLevel="1" x14ac:dyDescent="0.2">
      <c r="C233" s="712">
        <v>39974</v>
      </c>
    </row>
    <row r="234" spans="3:8" outlineLevel="1" x14ac:dyDescent="0.2">
      <c r="C234" s="712">
        <v>39975</v>
      </c>
    </row>
    <row r="235" spans="3:8" outlineLevel="1" x14ac:dyDescent="0.2">
      <c r="C235" s="712">
        <v>39976</v>
      </c>
    </row>
    <row r="236" spans="3:8" outlineLevel="1" x14ac:dyDescent="0.2">
      <c r="C236" s="712">
        <v>39977</v>
      </c>
    </row>
    <row r="237" spans="3:8" outlineLevel="1" x14ac:dyDescent="0.2">
      <c r="C237" s="712">
        <v>39978</v>
      </c>
    </row>
    <row r="238" spans="3:8" outlineLevel="1" x14ac:dyDescent="0.2">
      <c r="C238" s="712">
        <v>39979</v>
      </c>
    </row>
    <row r="239" spans="3:8" outlineLevel="1" x14ac:dyDescent="0.2">
      <c r="C239" s="712">
        <v>39980</v>
      </c>
    </row>
    <row r="240" spans="3:8" outlineLevel="1" x14ac:dyDescent="0.2">
      <c r="C240" s="712">
        <v>39981</v>
      </c>
    </row>
    <row r="241" spans="3:8" outlineLevel="1" x14ac:dyDescent="0.2">
      <c r="C241" s="712">
        <v>39982</v>
      </c>
    </row>
    <row r="242" spans="3:8" outlineLevel="1" x14ac:dyDescent="0.2">
      <c r="C242" s="712">
        <v>39983</v>
      </c>
    </row>
    <row r="243" spans="3:8" outlineLevel="1" x14ac:dyDescent="0.2">
      <c r="C243" s="712">
        <v>39984</v>
      </c>
    </row>
    <row r="244" spans="3:8" outlineLevel="1" x14ac:dyDescent="0.2">
      <c r="C244" s="712">
        <v>39985</v>
      </c>
    </row>
    <row r="245" spans="3:8" outlineLevel="1" x14ac:dyDescent="0.2">
      <c r="C245" s="712">
        <v>39986</v>
      </c>
    </row>
    <row r="246" spans="3:8" outlineLevel="1" x14ac:dyDescent="0.2">
      <c r="C246" s="712">
        <v>39987</v>
      </c>
    </row>
    <row r="247" spans="3:8" outlineLevel="1" x14ac:dyDescent="0.2">
      <c r="C247" s="712">
        <v>39988</v>
      </c>
      <c r="D247" s="713" t="s">
        <v>1440</v>
      </c>
      <c r="E247" s="713" t="s">
        <v>1554</v>
      </c>
      <c r="F247" s="713" t="s">
        <v>1937</v>
      </c>
      <c r="H247" s="701">
        <v>60000</v>
      </c>
    </row>
    <row r="248" spans="3:8" outlineLevel="1" x14ac:dyDescent="0.2">
      <c r="C248" s="712">
        <v>39988</v>
      </c>
      <c r="D248" s="713" t="s">
        <v>1440</v>
      </c>
      <c r="E248" s="713" t="s">
        <v>1742</v>
      </c>
      <c r="F248" s="713" t="s">
        <v>1937</v>
      </c>
      <c r="G248" s="713" t="s">
        <v>518</v>
      </c>
      <c r="H248" s="701">
        <v>40000</v>
      </c>
    </row>
    <row r="249" spans="3:8" outlineLevel="1" x14ac:dyDescent="0.2">
      <c r="C249" s="712">
        <v>39988</v>
      </c>
      <c r="D249" s="713" t="s">
        <v>1557</v>
      </c>
      <c r="E249" s="713" t="s">
        <v>1558</v>
      </c>
      <c r="F249" s="713" t="s">
        <v>1937</v>
      </c>
      <c r="G249" s="713" t="s">
        <v>518</v>
      </c>
      <c r="H249" s="701">
        <v>69120</v>
      </c>
    </row>
    <row r="250" spans="3:8" outlineLevel="1" x14ac:dyDescent="0.2">
      <c r="C250" s="712">
        <v>39989</v>
      </c>
    </row>
    <row r="251" spans="3:8" outlineLevel="1" x14ac:dyDescent="0.2">
      <c r="C251" s="712">
        <v>39990</v>
      </c>
    </row>
    <row r="252" spans="3:8" outlineLevel="1" x14ac:dyDescent="0.2">
      <c r="C252" s="712">
        <v>39991</v>
      </c>
    </row>
    <row r="253" spans="3:8" outlineLevel="1" x14ac:dyDescent="0.2">
      <c r="C253" s="712">
        <v>39992</v>
      </c>
    </row>
    <row r="254" spans="3:8" outlineLevel="1" x14ac:dyDescent="0.2">
      <c r="C254" s="712">
        <v>39993</v>
      </c>
    </row>
    <row r="255" spans="3:8" outlineLevel="1" x14ac:dyDescent="0.2">
      <c r="C255" s="712">
        <v>39994</v>
      </c>
    </row>
    <row r="256" spans="3:8" outlineLevel="1" x14ac:dyDescent="0.2">
      <c r="C256" s="712">
        <v>39995</v>
      </c>
    </row>
    <row r="257" spans="1:10" outlineLevel="1" x14ac:dyDescent="0.2">
      <c r="C257" s="712">
        <v>39996</v>
      </c>
    </row>
    <row r="258" spans="1:10" outlineLevel="1" x14ac:dyDescent="0.2">
      <c r="C258" s="712">
        <v>39997</v>
      </c>
    </row>
    <row r="259" spans="1:10" s="718" customFormat="1" outlineLevel="1" x14ac:dyDescent="0.2">
      <c r="A259" s="805"/>
      <c r="B259" s="716"/>
      <c r="C259" s="717">
        <v>39998</v>
      </c>
      <c r="F259" s="718" t="s">
        <v>789</v>
      </c>
      <c r="H259" s="719"/>
      <c r="I259" s="618"/>
      <c r="J259" s="601"/>
    </row>
    <row r="260" spans="1:10" s="718" customFormat="1" outlineLevel="1" x14ac:dyDescent="0.2">
      <c r="A260" s="805"/>
      <c r="B260" s="716"/>
      <c r="C260" s="717">
        <v>39999</v>
      </c>
      <c r="H260" s="719"/>
      <c r="I260" s="618"/>
      <c r="J260" s="601"/>
    </row>
    <row r="261" spans="1:10" outlineLevel="1" x14ac:dyDescent="0.2">
      <c r="C261" s="712">
        <v>40000</v>
      </c>
    </row>
    <row r="262" spans="1:10" outlineLevel="1" x14ac:dyDescent="0.2">
      <c r="C262" s="712">
        <v>40001</v>
      </c>
      <c r="D262" s="713" t="s">
        <v>1652</v>
      </c>
      <c r="E262" s="713" t="s">
        <v>1651</v>
      </c>
      <c r="F262" s="713" t="s">
        <v>1653</v>
      </c>
      <c r="G262" s="713" t="s">
        <v>518</v>
      </c>
      <c r="H262" s="701">
        <v>11600</v>
      </c>
    </row>
    <row r="263" spans="1:10" outlineLevel="1" x14ac:dyDescent="0.2">
      <c r="C263" s="712">
        <v>40001</v>
      </c>
      <c r="D263" s="713" t="s">
        <v>1652</v>
      </c>
      <c r="E263" s="713" t="s">
        <v>1654</v>
      </c>
      <c r="F263" s="713" t="s">
        <v>1653</v>
      </c>
      <c r="H263" s="701">
        <v>500</v>
      </c>
    </row>
    <row r="264" spans="1:10" outlineLevel="1" x14ac:dyDescent="0.2">
      <c r="C264" s="712">
        <v>40001</v>
      </c>
      <c r="D264" s="713" t="s">
        <v>1655</v>
      </c>
      <c r="E264" s="713" t="s">
        <v>1657</v>
      </c>
      <c r="F264" s="713" t="s">
        <v>1653</v>
      </c>
      <c r="H264" s="701">
        <v>3450</v>
      </c>
    </row>
    <row r="265" spans="1:10" outlineLevel="1" x14ac:dyDescent="0.2">
      <c r="C265" s="712">
        <v>40001</v>
      </c>
      <c r="D265" s="713" t="s">
        <v>1656</v>
      </c>
      <c r="E265" s="713" t="s">
        <v>1658</v>
      </c>
      <c r="F265" s="713" t="s">
        <v>1653</v>
      </c>
      <c r="G265" s="713" t="s">
        <v>518</v>
      </c>
      <c r="H265" s="701">
        <v>4305</v>
      </c>
    </row>
    <row r="266" spans="1:10" outlineLevel="1" x14ac:dyDescent="0.2">
      <c r="C266" s="712">
        <v>40002</v>
      </c>
    </row>
    <row r="267" spans="1:10" outlineLevel="1" x14ac:dyDescent="0.2">
      <c r="C267" s="712">
        <v>40003</v>
      </c>
      <c r="D267" s="713" t="s">
        <v>1674</v>
      </c>
      <c r="E267" s="713" t="s">
        <v>1673</v>
      </c>
      <c r="F267" s="713" t="s">
        <v>1653</v>
      </c>
      <c r="G267" s="713" t="s">
        <v>518</v>
      </c>
      <c r="H267" s="701">
        <v>7500</v>
      </c>
    </row>
    <row r="268" spans="1:10" outlineLevel="1" x14ac:dyDescent="0.2">
      <c r="C268" s="712">
        <v>40003</v>
      </c>
      <c r="D268" s="713" t="s">
        <v>1675</v>
      </c>
      <c r="E268" s="713" t="s">
        <v>1676</v>
      </c>
      <c r="F268" s="713" t="s">
        <v>1653</v>
      </c>
      <c r="H268" s="701">
        <v>1650</v>
      </c>
    </row>
    <row r="269" spans="1:10" s="718" customFormat="1" outlineLevel="1" x14ac:dyDescent="0.2">
      <c r="A269" s="805"/>
      <c r="B269" s="716"/>
      <c r="C269" s="717">
        <v>40004</v>
      </c>
      <c r="D269" s="718" t="s">
        <v>1442</v>
      </c>
      <c r="E269" s="718" t="s">
        <v>1835</v>
      </c>
      <c r="F269" s="718" t="s">
        <v>987</v>
      </c>
      <c r="H269" s="719">
        <v>50000</v>
      </c>
      <c r="I269" s="618"/>
      <c r="J269" s="601"/>
    </row>
    <row r="270" spans="1:10" s="718" customFormat="1" outlineLevel="1" x14ac:dyDescent="0.2">
      <c r="A270" s="805"/>
      <c r="B270" s="716"/>
      <c r="C270" s="717">
        <v>40005</v>
      </c>
      <c r="D270" s="718" t="s">
        <v>1697</v>
      </c>
      <c r="E270" s="718" t="s">
        <v>1696</v>
      </c>
      <c r="F270" s="718" t="s">
        <v>1653</v>
      </c>
      <c r="H270" s="719">
        <v>5145</v>
      </c>
      <c r="I270" s="618"/>
      <c r="J270" s="601"/>
    </row>
    <row r="271" spans="1:10" s="718" customFormat="1" outlineLevel="1" x14ac:dyDescent="0.2">
      <c r="A271" s="805"/>
      <c r="B271" s="716"/>
      <c r="C271" s="717">
        <v>40006</v>
      </c>
      <c r="H271" s="719"/>
      <c r="I271" s="618"/>
      <c r="J271" s="601"/>
    </row>
    <row r="272" spans="1:10" outlineLevel="1" x14ac:dyDescent="0.2">
      <c r="C272" s="712">
        <v>40007</v>
      </c>
      <c r="D272" s="713" t="s">
        <v>1675</v>
      </c>
      <c r="E272" s="713" t="s">
        <v>1698</v>
      </c>
      <c r="F272" s="713" t="s">
        <v>1653</v>
      </c>
      <c r="G272" s="713" t="s">
        <v>518</v>
      </c>
      <c r="H272" s="701">
        <v>13532</v>
      </c>
    </row>
    <row r="273" spans="1:10" outlineLevel="1" x14ac:dyDescent="0.2">
      <c r="C273" s="712">
        <v>40008</v>
      </c>
      <c r="D273" s="713" t="s">
        <v>1656</v>
      </c>
      <c r="E273" s="713" t="s">
        <v>1699</v>
      </c>
      <c r="F273" s="713" t="s">
        <v>1653</v>
      </c>
      <c r="G273" s="713" t="s">
        <v>518</v>
      </c>
      <c r="H273" s="701">
        <v>5965</v>
      </c>
    </row>
    <row r="274" spans="1:10" outlineLevel="1" x14ac:dyDescent="0.2">
      <c r="C274" s="712">
        <v>40008</v>
      </c>
      <c r="D274" s="713" t="s">
        <v>1700</v>
      </c>
      <c r="E274" s="713" t="s">
        <v>1719</v>
      </c>
      <c r="F274" s="713" t="s">
        <v>1718</v>
      </c>
      <c r="G274" s="713" t="s">
        <v>518</v>
      </c>
      <c r="H274" s="701">
        <v>11441</v>
      </c>
    </row>
    <row r="275" spans="1:10" outlineLevel="1" x14ac:dyDescent="0.2">
      <c r="C275" s="712">
        <v>40009</v>
      </c>
    </row>
    <row r="276" spans="1:10" outlineLevel="1" x14ac:dyDescent="0.2">
      <c r="C276" s="712">
        <v>40010</v>
      </c>
    </row>
    <row r="277" spans="1:10" outlineLevel="1" x14ac:dyDescent="0.2">
      <c r="C277" s="712">
        <v>40011</v>
      </c>
      <c r="D277" s="713" t="s">
        <v>1734</v>
      </c>
      <c r="E277" s="713" t="s">
        <v>1673</v>
      </c>
      <c r="F277" s="713" t="s">
        <v>1653</v>
      </c>
      <c r="H277" s="701">
        <v>1860</v>
      </c>
    </row>
    <row r="278" spans="1:10" outlineLevel="1" x14ac:dyDescent="0.2">
      <c r="C278" s="712">
        <v>40011</v>
      </c>
      <c r="D278" s="713" t="s">
        <v>1734</v>
      </c>
      <c r="E278" s="713" t="s">
        <v>1735</v>
      </c>
      <c r="F278" s="713" t="s">
        <v>1653</v>
      </c>
      <c r="H278" s="701">
        <v>960</v>
      </c>
    </row>
    <row r="279" spans="1:10" outlineLevel="1" x14ac:dyDescent="0.2">
      <c r="C279" s="712">
        <v>40011</v>
      </c>
      <c r="D279" s="713" t="s">
        <v>1652</v>
      </c>
      <c r="E279" s="713" t="s">
        <v>1735</v>
      </c>
      <c r="F279" s="713" t="s">
        <v>1653</v>
      </c>
      <c r="H279" s="701">
        <v>450</v>
      </c>
    </row>
    <row r="280" spans="1:10" s="718" customFormat="1" outlineLevel="1" x14ac:dyDescent="0.2">
      <c r="A280" s="805"/>
      <c r="B280" s="716"/>
      <c r="C280" s="717">
        <v>40012</v>
      </c>
      <c r="D280" s="718" t="s">
        <v>1700</v>
      </c>
      <c r="E280" s="718" t="s">
        <v>1736</v>
      </c>
      <c r="F280" s="718" t="s">
        <v>1718</v>
      </c>
      <c r="G280" s="718" t="s">
        <v>518</v>
      </c>
      <c r="H280" s="719">
        <v>7490</v>
      </c>
      <c r="I280" s="618"/>
      <c r="J280" s="601"/>
    </row>
    <row r="281" spans="1:10" s="718" customFormat="1" outlineLevel="1" x14ac:dyDescent="0.2">
      <c r="A281" s="805"/>
      <c r="B281" s="716"/>
      <c r="C281" s="717">
        <v>40012</v>
      </c>
      <c r="D281" s="718" t="s">
        <v>1442</v>
      </c>
      <c r="E281" s="718" t="s">
        <v>1834</v>
      </c>
      <c r="F281" s="718" t="s">
        <v>987</v>
      </c>
      <c r="H281" s="719">
        <v>6000</v>
      </c>
      <c r="I281" s="618"/>
      <c r="J281" s="601"/>
    </row>
    <row r="282" spans="1:10" s="718" customFormat="1" outlineLevel="1" x14ac:dyDescent="0.2">
      <c r="A282" s="805"/>
      <c r="B282" s="716"/>
      <c r="C282" s="717">
        <v>40013</v>
      </c>
      <c r="H282" s="719"/>
      <c r="I282" s="618"/>
      <c r="J282" s="601"/>
    </row>
    <row r="283" spans="1:10" s="718" customFormat="1" outlineLevel="1" x14ac:dyDescent="0.2">
      <c r="A283" s="805"/>
      <c r="B283" s="716"/>
      <c r="C283" s="717">
        <v>40014</v>
      </c>
      <c r="D283" s="718" t="s">
        <v>1734</v>
      </c>
      <c r="E283" s="718" t="s">
        <v>1673</v>
      </c>
      <c r="F283" s="718" t="s">
        <v>1718</v>
      </c>
      <c r="H283" s="719">
        <v>1860</v>
      </c>
      <c r="I283" s="618"/>
      <c r="J283" s="601"/>
    </row>
    <row r="284" spans="1:10" outlineLevel="1" x14ac:dyDescent="0.2">
      <c r="C284" s="717">
        <v>40014</v>
      </c>
      <c r="D284" s="713" t="s">
        <v>1734</v>
      </c>
      <c r="E284" s="713" t="s">
        <v>1737</v>
      </c>
      <c r="F284" s="713" t="s">
        <v>1718</v>
      </c>
      <c r="H284" s="701">
        <v>2500</v>
      </c>
    </row>
    <row r="285" spans="1:10" outlineLevel="1" x14ac:dyDescent="0.2">
      <c r="C285" s="712">
        <v>40015</v>
      </c>
      <c r="D285" s="713" t="s">
        <v>1656</v>
      </c>
      <c r="E285" s="713" t="s">
        <v>1755</v>
      </c>
      <c r="F285" s="713" t="s">
        <v>1653</v>
      </c>
      <c r="G285" s="713" t="s">
        <v>518</v>
      </c>
      <c r="H285" s="701">
        <v>7770</v>
      </c>
    </row>
    <row r="286" spans="1:10" outlineLevel="1" x14ac:dyDescent="0.2">
      <c r="C286" s="712">
        <v>40015</v>
      </c>
      <c r="D286" s="713" t="s">
        <v>1652</v>
      </c>
      <c r="E286" s="713" t="s">
        <v>1756</v>
      </c>
      <c r="F286" s="713" t="s">
        <v>1653</v>
      </c>
      <c r="G286" s="713" t="s">
        <v>518</v>
      </c>
      <c r="H286" s="701">
        <v>5400</v>
      </c>
    </row>
    <row r="287" spans="1:10" outlineLevel="1" x14ac:dyDescent="0.2">
      <c r="C287" s="712">
        <v>40016</v>
      </c>
    </row>
    <row r="288" spans="1:10" s="718" customFormat="1" outlineLevel="1" x14ac:dyDescent="0.2">
      <c r="A288" s="805"/>
      <c r="B288" s="716"/>
      <c r="C288" s="717">
        <v>40017</v>
      </c>
      <c r="D288" s="718" t="s">
        <v>1442</v>
      </c>
      <c r="E288" s="718" t="s">
        <v>1835</v>
      </c>
      <c r="F288" s="718" t="s">
        <v>987</v>
      </c>
      <c r="H288" s="719">
        <v>12000</v>
      </c>
      <c r="I288" s="619">
        <v>-3000000</v>
      </c>
    </row>
    <row r="289" spans="1:10" s="718" customFormat="1" outlineLevel="1" x14ac:dyDescent="0.2">
      <c r="A289" s="805"/>
      <c r="B289" s="716"/>
      <c r="C289" s="717">
        <v>40018</v>
      </c>
      <c r="D289" s="718" t="s">
        <v>1442</v>
      </c>
      <c r="E289" s="718" t="s">
        <v>1851</v>
      </c>
      <c r="F289" s="718" t="s">
        <v>987</v>
      </c>
      <c r="H289" s="719">
        <v>52000</v>
      </c>
      <c r="I289" s="618"/>
      <c r="J289" s="601"/>
    </row>
    <row r="290" spans="1:10" outlineLevel="1" x14ac:dyDescent="0.2">
      <c r="C290" s="712">
        <v>40019</v>
      </c>
    </row>
    <row r="291" spans="1:10" outlineLevel="1" x14ac:dyDescent="0.2">
      <c r="C291" s="712">
        <v>40020</v>
      </c>
    </row>
    <row r="292" spans="1:10" s="718" customFormat="1" outlineLevel="1" x14ac:dyDescent="0.2">
      <c r="A292" s="805" t="s">
        <v>411</v>
      </c>
      <c r="B292" s="716"/>
      <c r="C292" s="717">
        <v>40021</v>
      </c>
      <c r="D292" s="718" t="s">
        <v>1856</v>
      </c>
      <c r="E292" s="718" t="s">
        <v>1852</v>
      </c>
      <c r="F292" s="718" t="s">
        <v>1622</v>
      </c>
      <c r="H292" s="719">
        <v>294072</v>
      </c>
      <c r="I292" s="618"/>
      <c r="J292" s="601"/>
    </row>
    <row r="293" spans="1:10" s="718" customFormat="1" outlineLevel="1" x14ac:dyDescent="0.2">
      <c r="A293" s="805"/>
      <c r="B293" s="716"/>
      <c r="C293" s="717">
        <v>40021</v>
      </c>
      <c r="D293" s="718" t="s">
        <v>1692</v>
      </c>
      <c r="E293" s="718" t="s">
        <v>1862</v>
      </c>
      <c r="F293" s="718" t="s">
        <v>1622</v>
      </c>
      <c r="H293" s="719">
        <v>4125</v>
      </c>
      <c r="I293" s="618"/>
      <c r="J293" s="601"/>
    </row>
    <row r="294" spans="1:10" s="718" customFormat="1" outlineLevel="1" x14ac:dyDescent="0.2">
      <c r="A294" s="805" t="s">
        <v>411</v>
      </c>
      <c r="B294" s="716"/>
      <c r="C294" s="717">
        <v>40022</v>
      </c>
      <c r="D294" s="718" t="s">
        <v>1856</v>
      </c>
      <c r="E294" s="718" t="s">
        <v>1853</v>
      </c>
      <c r="F294" s="718" t="s">
        <v>1622</v>
      </c>
      <c r="H294" s="719">
        <v>325360</v>
      </c>
      <c r="I294" s="618"/>
      <c r="J294" s="601"/>
    </row>
    <row r="295" spans="1:10" s="718" customFormat="1" outlineLevel="1" x14ac:dyDescent="0.2">
      <c r="A295" s="805"/>
      <c r="B295" s="716"/>
      <c r="C295" s="717">
        <v>40022</v>
      </c>
      <c r="D295" s="718" t="s">
        <v>1858</v>
      </c>
      <c r="E295" s="718" t="s">
        <v>1859</v>
      </c>
      <c r="F295" s="718" t="s">
        <v>1622</v>
      </c>
      <c r="H295" s="719">
        <v>20000</v>
      </c>
      <c r="I295" s="618"/>
      <c r="J295" s="601"/>
    </row>
    <row r="296" spans="1:10" s="718" customFormat="1" outlineLevel="1" x14ac:dyDescent="0.2">
      <c r="A296" s="805"/>
      <c r="B296" s="716"/>
      <c r="C296" s="717">
        <v>40022</v>
      </c>
      <c r="D296" s="718" t="s">
        <v>1857</v>
      </c>
      <c r="E296" s="718" t="s">
        <v>1854</v>
      </c>
      <c r="F296" s="718" t="s">
        <v>1622</v>
      </c>
      <c r="H296" s="719">
        <v>4700</v>
      </c>
      <c r="I296" s="618"/>
      <c r="J296" s="601"/>
    </row>
    <row r="297" spans="1:10" s="718" customFormat="1" outlineLevel="1" x14ac:dyDescent="0.2">
      <c r="A297" s="805"/>
      <c r="B297" s="716"/>
      <c r="C297" s="717">
        <v>40022</v>
      </c>
      <c r="D297" s="718" t="s">
        <v>1856</v>
      </c>
      <c r="E297" s="718" t="s">
        <v>1855</v>
      </c>
      <c r="F297" s="718" t="s">
        <v>1622</v>
      </c>
      <c r="H297" s="719">
        <v>76800</v>
      </c>
      <c r="I297" s="618"/>
      <c r="J297" s="601"/>
    </row>
    <row r="298" spans="1:10" s="718" customFormat="1" outlineLevel="1" x14ac:dyDescent="0.2">
      <c r="A298" s="805"/>
      <c r="B298" s="716"/>
      <c r="C298" s="717">
        <v>40022</v>
      </c>
      <c r="D298" s="718" t="s">
        <v>1881</v>
      </c>
      <c r="E298" s="718" t="s">
        <v>1878</v>
      </c>
      <c r="F298" s="718" t="s">
        <v>1622</v>
      </c>
      <c r="H298" s="719">
        <v>87500</v>
      </c>
      <c r="I298" s="618"/>
      <c r="J298" s="601"/>
    </row>
    <row r="299" spans="1:10" s="718" customFormat="1" outlineLevel="1" x14ac:dyDescent="0.2">
      <c r="A299" s="805"/>
      <c r="B299" s="716"/>
      <c r="C299" s="717">
        <v>40022</v>
      </c>
      <c r="D299" s="718" t="s">
        <v>1442</v>
      </c>
      <c r="E299" s="718" t="s">
        <v>1876</v>
      </c>
      <c r="F299" s="718" t="s">
        <v>1622</v>
      </c>
      <c r="H299" s="719">
        <v>57600</v>
      </c>
      <c r="I299" s="618"/>
      <c r="J299" s="601"/>
    </row>
    <row r="300" spans="1:10" s="718" customFormat="1" outlineLevel="1" x14ac:dyDescent="0.2">
      <c r="A300" s="805"/>
      <c r="B300" s="716"/>
      <c r="C300" s="717">
        <v>40022</v>
      </c>
      <c r="D300" s="718" t="s">
        <v>1442</v>
      </c>
      <c r="E300" s="718" t="s">
        <v>1874</v>
      </c>
      <c r="F300" s="718" t="s">
        <v>1622</v>
      </c>
      <c r="H300" s="719">
        <v>81600</v>
      </c>
      <c r="I300" s="618"/>
      <c r="J300" s="601"/>
    </row>
    <row r="301" spans="1:10" s="718" customFormat="1" outlineLevel="1" x14ac:dyDescent="0.2">
      <c r="A301" s="805" t="s">
        <v>411</v>
      </c>
      <c r="B301" s="716"/>
      <c r="C301" s="717">
        <v>40023</v>
      </c>
      <c r="D301" s="718" t="s">
        <v>1856</v>
      </c>
      <c r="E301" s="718" t="s">
        <v>1860</v>
      </c>
      <c r="F301" s="718" t="s">
        <v>1622</v>
      </c>
      <c r="H301" s="719">
        <v>38400</v>
      </c>
      <c r="I301" s="618"/>
      <c r="J301" s="601"/>
    </row>
    <row r="302" spans="1:10" s="718" customFormat="1" outlineLevel="1" x14ac:dyDescent="0.2">
      <c r="A302" s="805"/>
      <c r="B302" s="716"/>
      <c r="C302" s="717">
        <v>40023</v>
      </c>
      <c r="D302" s="718" t="s">
        <v>1856</v>
      </c>
      <c r="E302" s="718" t="s">
        <v>1861</v>
      </c>
      <c r="F302" s="718" t="s">
        <v>1622</v>
      </c>
      <c r="H302" s="719">
        <v>139440</v>
      </c>
      <c r="I302" s="618"/>
      <c r="J302" s="601"/>
    </row>
    <row r="303" spans="1:10" s="718" customFormat="1" outlineLevel="1" x14ac:dyDescent="0.2">
      <c r="A303" s="805"/>
      <c r="B303" s="716"/>
      <c r="C303" s="717">
        <v>40023</v>
      </c>
      <c r="D303" s="718" t="s">
        <v>1442</v>
      </c>
      <c r="E303" s="718" t="s">
        <v>1875</v>
      </c>
      <c r="F303" s="718" t="s">
        <v>1622</v>
      </c>
      <c r="H303" s="719">
        <v>14400</v>
      </c>
      <c r="I303" s="618"/>
      <c r="J303" s="601"/>
    </row>
    <row r="304" spans="1:10" s="718" customFormat="1" outlineLevel="1" x14ac:dyDescent="0.2">
      <c r="A304" s="805"/>
      <c r="B304" s="716"/>
      <c r="C304" s="717">
        <v>40023</v>
      </c>
      <c r="D304" s="718" t="s">
        <v>1442</v>
      </c>
      <c r="E304" s="718" t="s">
        <v>1874</v>
      </c>
      <c r="F304" s="718" t="s">
        <v>1622</v>
      </c>
      <c r="H304" s="719">
        <v>81600</v>
      </c>
      <c r="I304" s="618"/>
      <c r="J304" s="601"/>
    </row>
    <row r="305" spans="1:10" s="718" customFormat="1" outlineLevel="1" x14ac:dyDescent="0.2">
      <c r="A305" s="805"/>
      <c r="B305" s="716"/>
      <c r="C305" s="717">
        <v>40023</v>
      </c>
      <c r="D305" s="718" t="s">
        <v>1652</v>
      </c>
      <c r="E305" s="718" t="s">
        <v>522</v>
      </c>
      <c r="F305" s="718" t="s">
        <v>1622</v>
      </c>
      <c r="G305" s="718" t="s">
        <v>518</v>
      </c>
      <c r="H305" s="719">
        <v>1750</v>
      </c>
      <c r="I305" s="618"/>
      <c r="J305" s="601"/>
    </row>
    <row r="306" spans="1:10" s="718" customFormat="1" outlineLevel="1" x14ac:dyDescent="0.2">
      <c r="A306" s="805"/>
      <c r="B306" s="716"/>
      <c r="C306" s="717">
        <v>40023</v>
      </c>
      <c r="D306" s="713" t="s">
        <v>1345</v>
      </c>
      <c r="E306" s="713" t="s">
        <v>1523</v>
      </c>
      <c r="F306" s="713" t="s">
        <v>1540</v>
      </c>
      <c r="G306" s="713" t="s">
        <v>518</v>
      </c>
      <c r="H306" s="701">
        <v>6710</v>
      </c>
      <c r="I306" s="618"/>
      <c r="J306" s="601"/>
    </row>
    <row r="307" spans="1:10" s="718" customFormat="1" outlineLevel="1" x14ac:dyDescent="0.2">
      <c r="A307" s="805" t="s">
        <v>411</v>
      </c>
      <c r="B307" s="716"/>
      <c r="C307" s="717">
        <v>40024</v>
      </c>
      <c r="D307" s="718" t="s">
        <v>1734</v>
      </c>
      <c r="E307" s="718" t="s">
        <v>1864</v>
      </c>
      <c r="F307" s="718" t="s">
        <v>1622</v>
      </c>
      <c r="H307" s="719">
        <v>1900</v>
      </c>
      <c r="I307" s="618"/>
      <c r="J307" s="601"/>
    </row>
    <row r="308" spans="1:10" s="718" customFormat="1" outlineLevel="1" x14ac:dyDescent="0.2">
      <c r="A308" s="805"/>
      <c r="B308" s="716"/>
      <c r="C308" s="717">
        <v>40024</v>
      </c>
      <c r="D308" s="718" t="s">
        <v>898</v>
      </c>
      <c r="E308" s="718" t="s">
        <v>1869</v>
      </c>
      <c r="F308" s="718" t="s">
        <v>1622</v>
      </c>
      <c r="H308" s="719">
        <v>28000</v>
      </c>
      <c r="I308" s="618"/>
      <c r="J308" s="601"/>
    </row>
    <row r="309" spans="1:10" s="718" customFormat="1" outlineLevel="1" x14ac:dyDescent="0.2">
      <c r="A309" s="805"/>
      <c r="B309" s="716"/>
      <c r="C309" s="717">
        <v>40024</v>
      </c>
      <c r="D309" s="718" t="s">
        <v>1867</v>
      </c>
      <c r="E309" s="718" t="s">
        <v>1868</v>
      </c>
      <c r="F309" s="718" t="s">
        <v>1622</v>
      </c>
      <c r="H309" s="719">
        <v>35000</v>
      </c>
      <c r="I309" s="618"/>
      <c r="J309" s="601"/>
    </row>
    <row r="310" spans="1:10" s="718" customFormat="1" outlineLevel="1" x14ac:dyDescent="0.2">
      <c r="A310" s="805"/>
      <c r="B310" s="716"/>
      <c r="C310" s="717">
        <v>40024</v>
      </c>
      <c r="D310" s="718" t="s">
        <v>1652</v>
      </c>
      <c r="E310" s="718" t="s">
        <v>1865</v>
      </c>
      <c r="F310" s="718" t="s">
        <v>1622</v>
      </c>
      <c r="G310" s="718" t="s">
        <v>518</v>
      </c>
      <c r="H310" s="719">
        <v>20920</v>
      </c>
      <c r="I310" s="618"/>
      <c r="J310" s="601"/>
    </row>
    <row r="311" spans="1:10" s="718" customFormat="1" outlineLevel="1" x14ac:dyDescent="0.2">
      <c r="A311" s="805"/>
      <c r="B311" s="716"/>
      <c r="C311" s="717">
        <v>40024</v>
      </c>
      <c r="D311" s="718" t="s">
        <v>1856</v>
      </c>
      <c r="E311" s="718" t="s">
        <v>1866</v>
      </c>
      <c r="F311" s="718" t="s">
        <v>1622</v>
      </c>
      <c r="H311" s="719">
        <v>-32000</v>
      </c>
      <c r="I311" s="618"/>
      <c r="J311" s="601"/>
    </row>
    <row r="312" spans="1:10" s="718" customFormat="1" outlineLevel="1" x14ac:dyDescent="0.2">
      <c r="A312" s="805"/>
      <c r="B312" s="716"/>
      <c r="C312" s="717">
        <v>40024</v>
      </c>
      <c r="D312" s="718" t="s">
        <v>1442</v>
      </c>
      <c r="E312" s="718" t="s">
        <v>1889</v>
      </c>
      <c r="F312" s="718" t="s">
        <v>1622</v>
      </c>
      <c r="H312" s="719">
        <v>13600</v>
      </c>
      <c r="I312" s="618"/>
      <c r="J312" s="601" t="s">
        <v>11</v>
      </c>
    </row>
    <row r="313" spans="1:10" s="718" customFormat="1" outlineLevel="1" x14ac:dyDescent="0.2">
      <c r="A313" s="805"/>
      <c r="B313" s="716"/>
      <c r="C313" s="717">
        <v>40024</v>
      </c>
      <c r="D313" s="718" t="s">
        <v>1442</v>
      </c>
      <c r="E313" s="718" t="s">
        <v>491</v>
      </c>
      <c r="F313" s="718" t="s">
        <v>1622</v>
      </c>
      <c r="H313" s="719">
        <v>88000</v>
      </c>
      <c r="I313" s="618"/>
      <c r="J313" s="601"/>
    </row>
    <row r="314" spans="1:10" s="718" customFormat="1" outlineLevel="1" x14ac:dyDescent="0.2">
      <c r="A314" s="805"/>
      <c r="B314" s="716"/>
      <c r="C314" s="717">
        <v>40024</v>
      </c>
      <c r="D314" s="718" t="s">
        <v>1881</v>
      </c>
      <c r="E314" s="718" t="s">
        <v>1879</v>
      </c>
      <c r="F314" s="718" t="s">
        <v>1622</v>
      </c>
      <c r="H314" s="719">
        <v>43750</v>
      </c>
      <c r="I314" s="618"/>
      <c r="J314" s="601"/>
    </row>
    <row r="315" spans="1:10" s="718" customFormat="1" outlineLevel="1" x14ac:dyDescent="0.2">
      <c r="A315" s="805" t="s">
        <v>411</v>
      </c>
      <c r="B315" s="716"/>
      <c r="C315" s="717">
        <v>40025</v>
      </c>
      <c r="D315" s="718" t="s">
        <v>1856</v>
      </c>
      <c r="E315" s="718" t="s">
        <v>1853</v>
      </c>
      <c r="F315" s="718" t="s">
        <v>1622</v>
      </c>
      <c r="H315" s="719">
        <v>325360</v>
      </c>
      <c r="I315" s="618"/>
      <c r="J315" s="601" t="s">
        <v>12</v>
      </c>
    </row>
    <row r="316" spans="1:10" s="718" customFormat="1" outlineLevel="1" x14ac:dyDescent="0.2">
      <c r="A316" s="805"/>
      <c r="B316" s="716"/>
      <c r="C316" s="717">
        <v>40025</v>
      </c>
      <c r="D316" s="718" t="s">
        <v>1856</v>
      </c>
      <c r="E316" s="718" t="s">
        <v>1890</v>
      </c>
      <c r="F316" s="718" t="s">
        <v>1622</v>
      </c>
      <c r="H316" s="719">
        <v>16000</v>
      </c>
      <c r="I316" s="618"/>
      <c r="J316" s="601"/>
    </row>
    <row r="317" spans="1:10" s="718" customFormat="1" outlineLevel="1" x14ac:dyDescent="0.2">
      <c r="A317" s="805"/>
      <c r="B317" s="716"/>
      <c r="C317" s="717">
        <v>40025</v>
      </c>
      <c r="D317" s="718" t="s">
        <v>1734</v>
      </c>
      <c r="E317" s="718" t="s">
        <v>1870</v>
      </c>
      <c r="F317" s="718" t="s">
        <v>1622</v>
      </c>
      <c r="H317" s="719">
        <v>6000</v>
      </c>
      <c r="I317" s="618"/>
      <c r="J317" s="601"/>
    </row>
    <row r="318" spans="1:10" s="718" customFormat="1" outlineLevel="1" x14ac:dyDescent="0.2">
      <c r="A318" s="805"/>
      <c r="B318" s="716"/>
      <c r="C318" s="717">
        <v>40025</v>
      </c>
      <c r="D318" s="718" t="s">
        <v>1872</v>
      </c>
      <c r="E318" s="718" t="s">
        <v>1871</v>
      </c>
      <c r="F318" s="718" t="s">
        <v>1622</v>
      </c>
      <c r="G318" s="718" t="s">
        <v>518</v>
      </c>
      <c r="H318" s="719">
        <v>11400</v>
      </c>
      <c r="I318" s="618"/>
      <c r="J318" s="601"/>
    </row>
    <row r="319" spans="1:10" s="718" customFormat="1" outlineLevel="1" x14ac:dyDescent="0.2">
      <c r="A319" s="805"/>
      <c r="B319" s="716"/>
      <c r="C319" s="717">
        <v>40025</v>
      </c>
      <c r="D319" s="718" t="s">
        <v>1442</v>
      </c>
      <c r="E319" s="718" t="s">
        <v>1873</v>
      </c>
      <c r="F319" s="718" t="s">
        <v>1622</v>
      </c>
      <c r="H319" s="719">
        <v>40800</v>
      </c>
      <c r="I319" s="618"/>
      <c r="J319" s="601"/>
    </row>
    <row r="320" spans="1:10" outlineLevel="1" x14ac:dyDescent="0.2">
      <c r="C320" s="717">
        <v>40025</v>
      </c>
      <c r="D320" s="713" t="s">
        <v>1881</v>
      </c>
      <c r="E320" s="713" t="s">
        <v>1877</v>
      </c>
      <c r="F320" s="713" t="s">
        <v>1622</v>
      </c>
      <c r="H320" s="701">
        <v>56250</v>
      </c>
    </row>
    <row r="321" spans="1:8" outlineLevel="1" x14ac:dyDescent="0.2">
      <c r="C321" s="717">
        <v>40025</v>
      </c>
      <c r="D321" s="713" t="s">
        <v>1881</v>
      </c>
      <c r="E321" s="713" t="s">
        <v>1880</v>
      </c>
      <c r="F321" s="713" t="s">
        <v>1622</v>
      </c>
      <c r="G321" s="713" t="s">
        <v>518</v>
      </c>
      <c r="H321" s="701">
        <v>150000</v>
      </c>
    </row>
    <row r="322" spans="1:8" outlineLevel="1" x14ac:dyDescent="0.2">
      <c r="C322" s="717">
        <v>40025</v>
      </c>
      <c r="D322" s="713" t="s">
        <v>983</v>
      </c>
      <c r="E322" s="713" t="s">
        <v>1882</v>
      </c>
      <c r="F322" s="713" t="s">
        <v>1622</v>
      </c>
      <c r="H322" s="701">
        <v>412500</v>
      </c>
    </row>
    <row r="323" spans="1:8" outlineLevel="1" x14ac:dyDescent="0.2">
      <c r="C323" s="712">
        <v>40026</v>
      </c>
    </row>
    <row r="324" spans="1:8" outlineLevel="1" x14ac:dyDescent="0.2">
      <c r="C324" s="712">
        <v>40027</v>
      </c>
    </row>
    <row r="325" spans="1:8" outlineLevel="1" x14ac:dyDescent="0.2">
      <c r="C325" s="712">
        <v>40028</v>
      </c>
    </row>
    <row r="326" spans="1:8" outlineLevel="1" x14ac:dyDescent="0.2">
      <c r="C326" s="712">
        <v>40029</v>
      </c>
    </row>
    <row r="327" spans="1:8" outlineLevel="1" x14ac:dyDescent="0.2">
      <c r="C327" s="712">
        <v>40030</v>
      </c>
      <c r="D327" s="718" t="s">
        <v>1652</v>
      </c>
      <c r="E327" s="718" t="s">
        <v>521</v>
      </c>
      <c r="F327" s="718" t="s">
        <v>1622</v>
      </c>
      <c r="G327" s="718"/>
      <c r="H327" s="719">
        <v>930</v>
      </c>
    </row>
    <row r="328" spans="1:8" outlineLevel="1" x14ac:dyDescent="0.2">
      <c r="C328" s="712">
        <v>40031</v>
      </c>
    </row>
    <row r="329" spans="1:8" outlineLevel="1" x14ac:dyDescent="0.2">
      <c r="C329" s="712">
        <v>40032</v>
      </c>
      <c r="D329" s="713" t="s">
        <v>1656</v>
      </c>
      <c r="E329" s="713" t="s">
        <v>1894</v>
      </c>
      <c r="F329" s="713" t="s">
        <v>485</v>
      </c>
      <c r="G329" s="713" t="s">
        <v>518</v>
      </c>
      <c r="H329" s="701">
        <v>21670</v>
      </c>
    </row>
    <row r="330" spans="1:8" outlineLevel="1" x14ac:dyDescent="0.2">
      <c r="C330" s="712">
        <v>40032</v>
      </c>
      <c r="D330" s="713" t="s">
        <v>1656</v>
      </c>
      <c r="E330" s="713" t="s">
        <v>1895</v>
      </c>
      <c r="F330" s="713" t="s">
        <v>485</v>
      </c>
      <c r="G330" s="713" t="s">
        <v>518</v>
      </c>
      <c r="H330" s="701">
        <v>9770</v>
      </c>
    </row>
    <row r="331" spans="1:8" outlineLevel="1" x14ac:dyDescent="0.2">
      <c r="C331" s="712">
        <v>40032</v>
      </c>
      <c r="D331" s="713" t="s">
        <v>1656</v>
      </c>
      <c r="E331" s="713" t="s">
        <v>1897</v>
      </c>
      <c r="F331" s="713" t="s">
        <v>1896</v>
      </c>
      <c r="G331" s="713" t="s">
        <v>518</v>
      </c>
      <c r="H331" s="701">
        <v>13620</v>
      </c>
    </row>
    <row r="332" spans="1:8" outlineLevel="1" x14ac:dyDescent="0.2">
      <c r="C332" s="712">
        <v>40033</v>
      </c>
      <c r="D332" s="713" t="s">
        <v>1442</v>
      </c>
      <c r="E332" s="713" t="s">
        <v>1918</v>
      </c>
      <c r="F332" s="713" t="s">
        <v>485</v>
      </c>
      <c r="H332" s="701">
        <v>15000</v>
      </c>
    </row>
    <row r="333" spans="1:8" outlineLevel="1" x14ac:dyDescent="0.2">
      <c r="C333" s="712">
        <v>40034</v>
      </c>
    </row>
    <row r="334" spans="1:8" outlineLevel="1" x14ac:dyDescent="0.2">
      <c r="A334" s="805" t="s">
        <v>411</v>
      </c>
      <c r="B334" s="716"/>
      <c r="C334" s="712">
        <v>40035</v>
      </c>
      <c r="D334" s="718" t="s">
        <v>1856</v>
      </c>
      <c r="E334" s="718" t="s">
        <v>1907</v>
      </c>
      <c r="F334" s="718" t="s">
        <v>1896</v>
      </c>
      <c r="G334" s="718"/>
      <c r="H334" s="719">
        <v>148680</v>
      </c>
    </row>
    <row r="335" spans="1:8" outlineLevel="1" x14ac:dyDescent="0.2">
      <c r="C335" s="712">
        <v>40035</v>
      </c>
      <c r="D335" s="718" t="s">
        <v>1856</v>
      </c>
      <c r="E335" s="718" t="s">
        <v>1915</v>
      </c>
      <c r="F335" s="718" t="s">
        <v>1896</v>
      </c>
      <c r="G335" s="718"/>
      <c r="H335" s="719">
        <v>85050</v>
      </c>
    </row>
    <row r="336" spans="1:8" outlineLevel="1" x14ac:dyDescent="0.2">
      <c r="C336" s="712">
        <v>40035</v>
      </c>
      <c r="D336" s="718" t="s">
        <v>1856</v>
      </c>
      <c r="E336" s="718" t="s">
        <v>1916</v>
      </c>
      <c r="F336" s="718" t="s">
        <v>1896</v>
      </c>
      <c r="G336" s="718"/>
      <c r="H336" s="719">
        <v>52800</v>
      </c>
    </row>
    <row r="337" spans="1:8" outlineLevel="1" x14ac:dyDescent="0.2">
      <c r="C337" s="712">
        <v>40035</v>
      </c>
      <c r="D337" s="718" t="s">
        <v>1856</v>
      </c>
      <c r="E337" s="718" t="s">
        <v>1917</v>
      </c>
      <c r="F337" s="718" t="s">
        <v>1896</v>
      </c>
      <c r="G337" s="718"/>
      <c r="H337" s="719">
        <v>68300</v>
      </c>
    </row>
    <row r="338" spans="1:8" outlineLevel="1" x14ac:dyDescent="0.2">
      <c r="C338" s="712">
        <v>40035</v>
      </c>
      <c r="D338" s="718" t="s">
        <v>1856</v>
      </c>
      <c r="E338" s="718" t="s">
        <v>1908</v>
      </c>
      <c r="F338" s="718" t="s">
        <v>1896</v>
      </c>
      <c r="G338" s="718"/>
      <c r="H338" s="719">
        <v>225600</v>
      </c>
    </row>
    <row r="339" spans="1:8" outlineLevel="1" x14ac:dyDescent="0.2">
      <c r="C339" s="712">
        <v>40035</v>
      </c>
      <c r="D339" s="718" t="s">
        <v>1856</v>
      </c>
      <c r="E339" s="718" t="s">
        <v>1909</v>
      </c>
      <c r="F339" s="718" t="s">
        <v>1896</v>
      </c>
      <c r="G339" s="718"/>
      <c r="H339" s="719">
        <v>33690</v>
      </c>
    </row>
    <row r="340" spans="1:8" outlineLevel="1" x14ac:dyDescent="0.2">
      <c r="C340" s="712">
        <v>40035</v>
      </c>
      <c r="D340" s="718" t="s">
        <v>1856</v>
      </c>
      <c r="E340" s="718" t="s">
        <v>9</v>
      </c>
      <c r="F340" s="718" t="s">
        <v>1896</v>
      </c>
      <c r="G340" s="718"/>
      <c r="H340" s="719">
        <v>28440</v>
      </c>
    </row>
    <row r="341" spans="1:8" outlineLevel="1" x14ac:dyDescent="0.2">
      <c r="C341" s="712">
        <v>40035</v>
      </c>
      <c r="D341" s="718" t="s">
        <v>1856</v>
      </c>
      <c r="E341" s="718" t="s">
        <v>1910</v>
      </c>
      <c r="F341" s="718" t="s">
        <v>1896</v>
      </c>
      <c r="G341" s="718"/>
      <c r="H341" s="719">
        <v>19448</v>
      </c>
    </row>
    <row r="342" spans="1:8" outlineLevel="1" x14ac:dyDescent="0.2">
      <c r="C342" s="712">
        <v>40035</v>
      </c>
      <c r="D342" s="718" t="s">
        <v>1911</v>
      </c>
      <c r="E342" s="718" t="s">
        <v>1912</v>
      </c>
      <c r="F342" s="718" t="s">
        <v>1896</v>
      </c>
      <c r="G342" s="718" t="s">
        <v>518</v>
      </c>
      <c r="H342" s="719">
        <v>8360</v>
      </c>
    </row>
    <row r="343" spans="1:8" outlineLevel="1" x14ac:dyDescent="0.2">
      <c r="C343" s="712">
        <v>40035</v>
      </c>
      <c r="D343" s="718" t="s">
        <v>1734</v>
      </c>
      <c r="E343" s="718" t="s">
        <v>1913</v>
      </c>
      <c r="F343" s="718" t="s">
        <v>1896</v>
      </c>
      <c r="G343" s="718"/>
      <c r="H343" s="719">
        <v>400</v>
      </c>
    </row>
    <row r="344" spans="1:8" outlineLevel="1" x14ac:dyDescent="0.2">
      <c r="C344" s="712">
        <v>40035</v>
      </c>
      <c r="D344" s="718" t="s">
        <v>1914</v>
      </c>
      <c r="E344" s="718" t="s">
        <v>130</v>
      </c>
      <c r="F344" s="718" t="s">
        <v>1896</v>
      </c>
      <c r="G344" s="718"/>
      <c r="H344" s="719">
        <v>8300</v>
      </c>
    </row>
    <row r="345" spans="1:8" outlineLevel="1" x14ac:dyDescent="0.2">
      <c r="A345" s="805" t="s">
        <v>411</v>
      </c>
      <c r="B345" s="716"/>
      <c r="C345" s="712">
        <v>40036</v>
      </c>
      <c r="D345" s="718" t="s">
        <v>1856</v>
      </c>
      <c r="E345" s="718" t="s">
        <v>1907</v>
      </c>
      <c r="F345" s="718" t="s">
        <v>1896</v>
      </c>
      <c r="G345" s="718"/>
      <c r="H345" s="719">
        <v>148680</v>
      </c>
    </row>
    <row r="346" spans="1:8" outlineLevel="1" x14ac:dyDescent="0.2">
      <c r="A346" s="805" t="s">
        <v>411</v>
      </c>
      <c r="B346" s="716"/>
      <c r="C346" s="712">
        <v>40037</v>
      </c>
      <c r="D346" s="718" t="s">
        <v>1856</v>
      </c>
      <c r="E346" s="718" t="s">
        <v>1907</v>
      </c>
      <c r="F346" s="718" t="s">
        <v>1896</v>
      </c>
      <c r="G346" s="718"/>
      <c r="H346" s="719">
        <v>148680</v>
      </c>
    </row>
    <row r="347" spans="1:8" outlineLevel="1" x14ac:dyDescent="0.2">
      <c r="A347" s="804" t="s">
        <v>411</v>
      </c>
      <c r="C347" s="712">
        <v>40038</v>
      </c>
    </row>
    <row r="348" spans="1:8" outlineLevel="1" x14ac:dyDescent="0.2">
      <c r="A348" s="805" t="s">
        <v>411</v>
      </c>
      <c r="B348" s="716"/>
      <c r="C348" s="712">
        <v>40039</v>
      </c>
      <c r="D348" s="718" t="s">
        <v>1856</v>
      </c>
      <c r="E348" s="718" t="s">
        <v>1927</v>
      </c>
      <c r="F348" s="718" t="s">
        <v>1896</v>
      </c>
      <c r="G348" s="718"/>
      <c r="H348" s="719">
        <v>127440</v>
      </c>
    </row>
    <row r="349" spans="1:8" outlineLevel="1" x14ac:dyDescent="0.2">
      <c r="C349" s="712">
        <v>40039</v>
      </c>
      <c r="D349" s="718" t="s">
        <v>1856</v>
      </c>
      <c r="E349" s="718" t="s">
        <v>1928</v>
      </c>
      <c r="F349" s="718" t="s">
        <v>1896</v>
      </c>
      <c r="G349" s="718"/>
      <c r="H349" s="719">
        <v>28350</v>
      </c>
    </row>
    <row r="350" spans="1:8" outlineLevel="1" x14ac:dyDescent="0.2">
      <c r="C350" s="712">
        <v>40039</v>
      </c>
      <c r="D350" s="718" t="s">
        <v>1856</v>
      </c>
      <c r="E350" s="718" t="s">
        <v>10</v>
      </c>
      <c r="F350" s="718" t="s">
        <v>1896</v>
      </c>
      <c r="G350" s="718"/>
      <c r="H350" s="719">
        <v>20000</v>
      </c>
    </row>
    <row r="351" spans="1:8" outlineLevel="1" x14ac:dyDescent="0.2">
      <c r="C351" s="712">
        <v>40039</v>
      </c>
      <c r="D351" s="718" t="s">
        <v>1734</v>
      </c>
      <c r="E351" s="718" t="s">
        <v>1929</v>
      </c>
      <c r="F351" s="718" t="s">
        <v>1896</v>
      </c>
      <c r="G351" s="718"/>
      <c r="H351" s="719">
        <v>25000</v>
      </c>
    </row>
    <row r="352" spans="1:8" outlineLevel="1" x14ac:dyDescent="0.2">
      <c r="C352" s="712">
        <v>40039</v>
      </c>
      <c r="D352" s="713" t="s">
        <v>983</v>
      </c>
      <c r="E352" s="713" t="s">
        <v>1931</v>
      </c>
      <c r="F352" s="713" t="s">
        <v>1622</v>
      </c>
      <c r="H352" s="701">
        <v>13000</v>
      </c>
    </row>
    <row r="353" spans="3:8" outlineLevel="1" x14ac:dyDescent="0.2">
      <c r="C353" s="712">
        <v>40039</v>
      </c>
      <c r="D353" s="713" t="s">
        <v>983</v>
      </c>
      <c r="E353" s="713" t="s">
        <v>1135</v>
      </c>
      <c r="F353" s="713" t="s">
        <v>1896</v>
      </c>
      <c r="H353" s="701">
        <v>282000</v>
      </c>
    </row>
    <row r="354" spans="3:8" outlineLevel="1" x14ac:dyDescent="0.2">
      <c r="C354" s="712">
        <v>40040</v>
      </c>
    </row>
    <row r="355" spans="3:8" outlineLevel="1" x14ac:dyDescent="0.2">
      <c r="C355" s="712">
        <v>40041</v>
      </c>
      <c r="E355" s="713" t="s">
        <v>1922</v>
      </c>
    </row>
    <row r="356" spans="3:8" outlineLevel="1" x14ac:dyDescent="0.2">
      <c r="C356" s="712">
        <v>40042</v>
      </c>
    </row>
    <row r="357" spans="3:8" outlineLevel="1" x14ac:dyDescent="0.2">
      <c r="C357" s="712">
        <v>40043</v>
      </c>
      <c r="D357" s="713" t="s">
        <v>1</v>
      </c>
      <c r="E357" s="713" t="s">
        <v>2</v>
      </c>
      <c r="F357" s="713" t="s">
        <v>1896</v>
      </c>
      <c r="G357" s="713" t="s">
        <v>518</v>
      </c>
      <c r="H357" s="701">
        <v>78225</v>
      </c>
    </row>
    <row r="358" spans="3:8" outlineLevel="1" x14ac:dyDescent="0.2">
      <c r="C358" s="712">
        <v>40044</v>
      </c>
      <c r="D358" s="718" t="s">
        <v>1858</v>
      </c>
      <c r="E358" s="718" t="s">
        <v>5</v>
      </c>
      <c r="F358" s="718" t="s">
        <v>1896</v>
      </c>
      <c r="G358" s="718"/>
      <c r="H358" s="719">
        <v>47715</v>
      </c>
    </row>
    <row r="359" spans="3:8" outlineLevel="1" x14ac:dyDescent="0.2">
      <c r="C359" s="712">
        <v>40044</v>
      </c>
      <c r="D359" s="718" t="s">
        <v>1857</v>
      </c>
      <c r="E359" s="718" t="s">
        <v>6</v>
      </c>
      <c r="F359" s="718" t="s">
        <v>1896</v>
      </c>
      <c r="G359" s="718" t="s">
        <v>518</v>
      </c>
      <c r="H359" s="719">
        <v>58400</v>
      </c>
    </row>
    <row r="360" spans="3:8" outlineLevel="1" x14ac:dyDescent="0.2">
      <c r="C360" s="712">
        <v>40045</v>
      </c>
    </row>
    <row r="361" spans="3:8" outlineLevel="1" x14ac:dyDescent="0.2">
      <c r="C361" s="712">
        <v>40046</v>
      </c>
    </row>
    <row r="362" spans="3:8" outlineLevel="1" x14ac:dyDescent="0.2">
      <c r="C362" s="712">
        <v>40047</v>
      </c>
    </row>
    <row r="363" spans="3:8" outlineLevel="1" x14ac:dyDescent="0.2">
      <c r="C363" s="712">
        <v>40048</v>
      </c>
    </row>
    <row r="364" spans="3:8" outlineLevel="1" x14ac:dyDescent="0.2">
      <c r="C364" s="712">
        <v>40049</v>
      </c>
    </row>
    <row r="365" spans="3:8" outlineLevel="1" x14ac:dyDescent="0.2">
      <c r="C365" s="712">
        <v>40050</v>
      </c>
    </row>
    <row r="366" spans="3:8" outlineLevel="1" x14ac:dyDescent="0.2">
      <c r="C366" s="712">
        <v>40051</v>
      </c>
    </row>
    <row r="367" spans="3:8" outlineLevel="1" x14ac:dyDescent="0.2">
      <c r="C367" s="712">
        <v>40052</v>
      </c>
    </row>
    <row r="368" spans="3:8" outlineLevel="1" x14ac:dyDescent="0.2">
      <c r="C368" s="712">
        <v>40053</v>
      </c>
    </row>
    <row r="369" spans="1:8" outlineLevel="1" x14ac:dyDescent="0.2">
      <c r="C369" s="712">
        <v>40054</v>
      </c>
    </row>
    <row r="370" spans="1:8" outlineLevel="1" x14ac:dyDescent="0.2">
      <c r="C370" s="712">
        <v>40055</v>
      </c>
    </row>
    <row r="371" spans="1:8" outlineLevel="1" x14ac:dyDescent="0.2">
      <c r="C371" s="712">
        <v>40056</v>
      </c>
    </row>
    <row r="372" spans="1:8" outlineLevel="1" x14ac:dyDescent="0.2">
      <c r="C372" s="712">
        <v>40057</v>
      </c>
    </row>
    <row r="373" spans="1:8" outlineLevel="1" x14ac:dyDescent="0.2">
      <c r="C373" s="712">
        <v>40058</v>
      </c>
    </row>
    <row r="374" spans="1:8" outlineLevel="1" x14ac:dyDescent="0.2">
      <c r="C374" s="712">
        <v>40059</v>
      </c>
    </row>
    <row r="375" spans="1:8" outlineLevel="1" x14ac:dyDescent="0.2">
      <c r="C375" s="712">
        <v>40060</v>
      </c>
    </row>
    <row r="376" spans="1:8" outlineLevel="1" x14ac:dyDescent="0.2">
      <c r="C376" s="712">
        <v>40061</v>
      </c>
    </row>
    <row r="377" spans="1:8" outlineLevel="1" x14ac:dyDescent="0.2">
      <c r="C377" s="712">
        <v>40062</v>
      </c>
    </row>
    <row r="378" spans="1:8" outlineLevel="1" x14ac:dyDescent="0.2">
      <c r="C378" s="712">
        <v>40063</v>
      </c>
      <c r="D378" s="713" t="s">
        <v>15</v>
      </c>
      <c r="E378" s="713" t="s">
        <v>16</v>
      </c>
      <c r="F378" s="713" t="s">
        <v>1128</v>
      </c>
      <c r="G378" s="713" t="s">
        <v>518</v>
      </c>
      <c r="H378" s="701">
        <v>150000</v>
      </c>
    </row>
    <row r="379" spans="1:8" outlineLevel="1" x14ac:dyDescent="0.2">
      <c r="C379" s="712">
        <v>40064</v>
      </c>
    </row>
    <row r="380" spans="1:8" outlineLevel="1" x14ac:dyDescent="0.2">
      <c r="C380" s="712">
        <v>40065</v>
      </c>
    </row>
    <row r="381" spans="1:8" outlineLevel="1" x14ac:dyDescent="0.2">
      <c r="A381" s="804" t="s">
        <v>411</v>
      </c>
      <c r="C381" s="712">
        <v>40066</v>
      </c>
      <c r="D381" s="713" t="s">
        <v>1437</v>
      </c>
      <c r="E381" s="713" t="s">
        <v>34</v>
      </c>
      <c r="F381" s="713" t="s">
        <v>1262</v>
      </c>
      <c r="H381" s="701">
        <v>60000</v>
      </c>
    </row>
    <row r="382" spans="1:8" outlineLevel="1" x14ac:dyDescent="0.2">
      <c r="A382" s="805" t="s">
        <v>411</v>
      </c>
      <c r="B382" s="716"/>
      <c r="C382" s="712">
        <v>40067</v>
      </c>
      <c r="D382" s="718" t="s">
        <v>43</v>
      </c>
      <c r="E382" s="718" t="s">
        <v>44</v>
      </c>
      <c r="F382" s="718" t="s">
        <v>1896</v>
      </c>
      <c r="G382" s="718" t="s">
        <v>518</v>
      </c>
      <c r="H382" s="719">
        <v>4000</v>
      </c>
    </row>
    <row r="383" spans="1:8" outlineLevel="1" x14ac:dyDescent="0.2">
      <c r="C383" s="712">
        <v>40067</v>
      </c>
      <c r="D383" s="718" t="s">
        <v>43</v>
      </c>
      <c r="E383" s="718" t="s">
        <v>46</v>
      </c>
      <c r="F383" s="718" t="s">
        <v>1896</v>
      </c>
      <c r="G383" s="718" t="s">
        <v>518</v>
      </c>
      <c r="H383" s="719">
        <v>340</v>
      </c>
    </row>
    <row r="384" spans="1:8" outlineLevel="1" x14ac:dyDescent="0.2">
      <c r="C384" s="712">
        <v>40067</v>
      </c>
      <c r="D384" s="718" t="s">
        <v>1656</v>
      </c>
      <c r="E384" s="718" t="s">
        <v>45</v>
      </c>
      <c r="F384" s="718" t="s">
        <v>1896</v>
      </c>
      <c r="G384" s="718" t="s">
        <v>518</v>
      </c>
      <c r="H384" s="719">
        <v>4730</v>
      </c>
    </row>
    <row r="385" spans="1:9" outlineLevel="1" x14ac:dyDescent="0.2">
      <c r="C385" s="712">
        <v>40067</v>
      </c>
      <c r="D385" s="713" t="s">
        <v>983</v>
      </c>
      <c r="E385" s="713" t="s">
        <v>1135</v>
      </c>
      <c r="F385" s="713" t="s">
        <v>1896</v>
      </c>
      <c r="H385" s="701">
        <v>113000</v>
      </c>
    </row>
    <row r="386" spans="1:9" outlineLevel="1" x14ac:dyDescent="0.2">
      <c r="C386" s="712">
        <v>40068</v>
      </c>
    </row>
    <row r="387" spans="1:9" outlineLevel="1" x14ac:dyDescent="0.2">
      <c r="C387" s="712">
        <v>40069</v>
      </c>
    </row>
    <row r="388" spans="1:9" outlineLevel="1" x14ac:dyDescent="0.2">
      <c r="C388" s="712">
        <v>40070</v>
      </c>
      <c r="D388" s="713" t="s">
        <v>520</v>
      </c>
      <c r="E388" s="713" t="s">
        <v>127</v>
      </c>
      <c r="F388" s="713" t="s">
        <v>1540</v>
      </c>
      <c r="H388" s="701">
        <v>62000</v>
      </c>
      <c r="I388" s="620"/>
    </row>
    <row r="389" spans="1:9" outlineLevel="1" x14ac:dyDescent="0.2">
      <c r="C389" s="712">
        <v>40071</v>
      </c>
      <c r="D389" s="713" t="s">
        <v>1345</v>
      </c>
      <c r="E389" s="713" t="s">
        <v>128</v>
      </c>
      <c r="F389" s="713" t="s">
        <v>1540</v>
      </c>
      <c r="H389" s="701">
        <v>22000</v>
      </c>
      <c r="I389" s="620"/>
    </row>
    <row r="390" spans="1:9" outlineLevel="1" x14ac:dyDescent="0.2">
      <c r="C390" s="712">
        <v>40072</v>
      </c>
      <c r="I390" s="620"/>
    </row>
    <row r="391" spans="1:9" outlineLevel="1" x14ac:dyDescent="0.2">
      <c r="C391" s="712">
        <v>40073</v>
      </c>
      <c r="I391" s="620"/>
    </row>
    <row r="392" spans="1:9" outlineLevel="1" x14ac:dyDescent="0.2">
      <c r="C392" s="712">
        <v>40074</v>
      </c>
      <c r="I392" s="620"/>
    </row>
    <row r="393" spans="1:9" outlineLevel="1" x14ac:dyDescent="0.2">
      <c r="C393" s="712">
        <v>40075</v>
      </c>
      <c r="I393" s="620"/>
    </row>
    <row r="394" spans="1:9" outlineLevel="1" x14ac:dyDescent="0.2">
      <c r="C394" s="712">
        <v>40076</v>
      </c>
      <c r="I394" s="620"/>
    </row>
    <row r="395" spans="1:9" outlineLevel="1" x14ac:dyDescent="0.2">
      <c r="C395" s="712">
        <v>40077</v>
      </c>
      <c r="D395" s="713" t="s">
        <v>1345</v>
      </c>
      <c r="E395" s="713" t="s">
        <v>1523</v>
      </c>
      <c r="F395" s="713" t="s">
        <v>1540</v>
      </c>
      <c r="H395" s="701">
        <v>4000</v>
      </c>
      <c r="I395" s="620"/>
    </row>
    <row r="396" spans="1:9" outlineLevel="1" x14ac:dyDescent="0.2">
      <c r="A396" s="805" t="s">
        <v>411</v>
      </c>
      <c r="B396" s="716"/>
      <c r="C396" s="712">
        <v>40078</v>
      </c>
      <c r="D396" s="718" t="s">
        <v>1858</v>
      </c>
      <c r="E396" s="718" t="s">
        <v>85</v>
      </c>
      <c r="F396" s="718" t="s">
        <v>84</v>
      </c>
      <c r="G396" s="718"/>
      <c r="H396" s="719">
        <v>6000</v>
      </c>
      <c r="I396" s="620"/>
    </row>
    <row r="397" spans="1:9" outlineLevel="1" x14ac:dyDescent="0.2">
      <c r="C397" s="712">
        <v>40078</v>
      </c>
      <c r="D397" s="718" t="s">
        <v>1858</v>
      </c>
      <c r="E397" s="718" t="s">
        <v>85</v>
      </c>
      <c r="F397" s="718" t="s">
        <v>84</v>
      </c>
      <c r="G397" s="718"/>
      <c r="H397" s="719">
        <v>6000</v>
      </c>
      <c r="I397" s="620"/>
    </row>
    <row r="398" spans="1:9" outlineLevel="1" x14ac:dyDescent="0.2">
      <c r="C398" s="712">
        <v>40078</v>
      </c>
      <c r="D398" s="718" t="s">
        <v>1692</v>
      </c>
      <c r="E398" s="718" t="s">
        <v>87</v>
      </c>
      <c r="F398" s="718" t="s">
        <v>84</v>
      </c>
      <c r="G398" s="718"/>
      <c r="H398" s="719">
        <v>3430</v>
      </c>
      <c r="I398" s="620"/>
    </row>
    <row r="399" spans="1:9" outlineLevel="1" x14ac:dyDescent="0.2">
      <c r="A399" s="805" t="s">
        <v>411</v>
      </c>
      <c r="B399" s="716"/>
      <c r="C399" s="712">
        <v>40079</v>
      </c>
      <c r="D399" s="718" t="s">
        <v>103</v>
      </c>
      <c r="E399" s="718" t="s">
        <v>104</v>
      </c>
      <c r="F399" s="718" t="s">
        <v>102</v>
      </c>
      <c r="G399" s="718" t="s">
        <v>518</v>
      </c>
      <c r="H399" s="701">
        <v>27720</v>
      </c>
      <c r="I399" s="619">
        <v>-2000000</v>
      </c>
    </row>
    <row r="400" spans="1:9" outlineLevel="1" x14ac:dyDescent="0.2">
      <c r="C400" s="712">
        <v>40079</v>
      </c>
      <c r="D400" s="713" t="s">
        <v>1</v>
      </c>
      <c r="E400" s="718" t="s">
        <v>105</v>
      </c>
      <c r="F400" s="718" t="s">
        <v>84</v>
      </c>
      <c r="G400" s="718" t="s">
        <v>518</v>
      </c>
      <c r="H400" s="719">
        <v>3675</v>
      </c>
      <c r="I400" s="620"/>
    </row>
    <row r="401" spans="1:9" outlineLevel="1" x14ac:dyDescent="0.2">
      <c r="A401" s="805" t="s">
        <v>411</v>
      </c>
      <c r="B401" s="716"/>
      <c r="C401" s="712">
        <v>40080</v>
      </c>
      <c r="D401" s="713" t="s">
        <v>1</v>
      </c>
      <c r="E401" s="718" t="s">
        <v>110</v>
      </c>
      <c r="F401" s="718" t="s">
        <v>84</v>
      </c>
      <c r="G401" s="718" t="s">
        <v>518</v>
      </c>
      <c r="H401" s="719">
        <v>613</v>
      </c>
      <c r="I401" s="620"/>
    </row>
    <row r="402" spans="1:9" outlineLevel="1" x14ac:dyDescent="0.2">
      <c r="C402" s="712">
        <v>40080</v>
      </c>
      <c r="D402" s="718" t="s">
        <v>103</v>
      </c>
      <c r="E402" s="718" t="s">
        <v>111</v>
      </c>
      <c r="F402" s="718" t="s">
        <v>102</v>
      </c>
      <c r="G402" s="718" t="s">
        <v>518</v>
      </c>
      <c r="H402" s="701">
        <v>1210</v>
      </c>
      <c r="I402" s="620"/>
    </row>
    <row r="403" spans="1:9" outlineLevel="1" x14ac:dyDescent="0.2">
      <c r="C403" s="712">
        <v>40080</v>
      </c>
      <c r="D403" s="718" t="s">
        <v>1692</v>
      </c>
      <c r="E403" s="718" t="s">
        <v>113</v>
      </c>
      <c r="F403" s="718" t="s">
        <v>84</v>
      </c>
      <c r="G403" s="718"/>
      <c r="H403" s="719">
        <v>1375</v>
      </c>
      <c r="I403" s="620"/>
    </row>
    <row r="404" spans="1:9" outlineLevel="1" x14ac:dyDescent="0.2">
      <c r="A404" s="805" t="s">
        <v>411</v>
      </c>
      <c r="B404" s="716"/>
      <c r="C404" s="712">
        <v>40081</v>
      </c>
      <c r="D404" s="718" t="s">
        <v>1858</v>
      </c>
      <c r="E404" s="718" t="s">
        <v>112</v>
      </c>
      <c r="F404" s="718" t="s">
        <v>84</v>
      </c>
      <c r="G404" s="718"/>
      <c r="H404" s="719">
        <v>7200</v>
      </c>
      <c r="I404" s="620"/>
    </row>
    <row r="405" spans="1:9" outlineLevel="1" x14ac:dyDescent="0.2">
      <c r="C405" s="712">
        <v>40081</v>
      </c>
      <c r="D405" s="718" t="s">
        <v>1652</v>
      </c>
      <c r="E405" s="718" t="s">
        <v>114</v>
      </c>
      <c r="F405" s="718" t="s">
        <v>84</v>
      </c>
      <c r="G405" s="718"/>
      <c r="H405" s="719">
        <v>1845</v>
      </c>
      <c r="I405" s="620"/>
    </row>
    <row r="406" spans="1:9" outlineLevel="1" x14ac:dyDescent="0.2">
      <c r="C406" s="712">
        <v>40081</v>
      </c>
      <c r="D406" s="718" t="s">
        <v>1734</v>
      </c>
      <c r="E406" s="718" t="s">
        <v>115</v>
      </c>
      <c r="F406" s="718" t="s">
        <v>84</v>
      </c>
      <c r="G406" s="718"/>
      <c r="H406" s="719">
        <v>580</v>
      </c>
      <c r="I406" s="620"/>
    </row>
    <row r="407" spans="1:9" outlineLevel="1" x14ac:dyDescent="0.2">
      <c r="C407" s="712">
        <v>40081</v>
      </c>
      <c r="D407" s="713" t="s">
        <v>983</v>
      </c>
      <c r="E407" s="713" t="s">
        <v>1882</v>
      </c>
      <c r="F407" s="718" t="s">
        <v>84</v>
      </c>
      <c r="G407" s="718"/>
      <c r="H407" s="701">
        <v>230000</v>
      </c>
      <c r="I407" s="620"/>
    </row>
    <row r="408" spans="1:9" outlineLevel="1" x14ac:dyDescent="0.2">
      <c r="C408" s="712">
        <v>40082</v>
      </c>
      <c r="D408" s="713" t="s">
        <v>1345</v>
      </c>
      <c r="E408" s="713" t="s">
        <v>1523</v>
      </c>
      <c r="F408" s="713" t="s">
        <v>1540</v>
      </c>
      <c r="H408" s="701">
        <v>4000</v>
      </c>
      <c r="I408" s="620"/>
    </row>
    <row r="409" spans="1:9" outlineLevel="1" x14ac:dyDescent="0.2">
      <c r="C409" s="712">
        <v>40083</v>
      </c>
      <c r="I409" s="620"/>
    </row>
    <row r="410" spans="1:9" outlineLevel="1" x14ac:dyDescent="0.2">
      <c r="C410" s="712">
        <v>40084</v>
      </c>
      <c r="D410" s="713" t="s">
        <v>1557</v>
      </c>
      <c r="E410" s="713" t="s">
        <v>129</v>
      </c>
      <c r="F410" s="713" t="s">
        <v>1937</v>
      </c>
      <c r="H410" s="701">
        <v>91096</v>
      </c>
      <c r="I410" s="620"/>
    </row>
    <row r="411" spans="1:9" outlineLevel="1" x14ac:dyDescent="0.2">
      <c r="C411" s="712">
        <v>40085</v>
      </c>
      <c r="D411" s="713" t="s">
        <v>125</v>
      </c>
      <c r="E411" s="713" t="s">
        <v>127</v>
      </c>
      <c r="F411" s="713" t="s">
        <v>1540</v>
      </c>
      <c r="H411" s="701">
        <v>30000</v>
      </c>
      <c r="I411" s="620"/>
    </row>
    <row r="412" spans="1:9" outlineLevel="1" x14ac:dyDescent="0.2">
      <c r="C412" s="712">
        <v>40086</v>
      </c>
      <c r="D412" s="718" t="s">
        <v>1856</v>
      </c>
      <c r="E412" s="718" t="s">
        <v>149</v>
      </c>
      <c r="F412" s="718" t="s">
        <v>1896</v>
      </c>
      <c r="G412" s="718"/>
      <c r="H412" s="719">
        <v>-33000</v>
      </c>
      <c r="I412" s="620"/>
    </row>
    <row r="413" spans="1:9" outlineLevel="1" x14ac:dyDescent="0.2">
      <c r="C413" s="712">
        <v>40086</v>
      </c>
      <c r="D413" s="718" t="s">
        <v>1856</v>
      </c>
      <c r="E413" s="718" t="s">
        <v>150</v>
      </c>
      <c r="F413" s="718" t="s">
        <v>84</v>
      </c>
      <c r="G413" s="718"/>
      <c r="H413" s="719">
        <v>32525</v>
      </c>
      <c r="I413" s="620"/>
    </row>
    <row r="414" spans="1:9" outlineLevel="1" x14ac:dyDescent="0.2">
      <c r="C414" s="712">
        <v>40086</v>
      </c>
      <c r="D414" s="718" t="s">
        <v>1856</v>
      </c>
      <c r="E414" s="718" t="s">
        <v>151</v>
      </c>
      <c r="F414" s="718" t="s">
        <v>84</v>
      </c>
      <c r="G414" s="718"/>
      <c r="H414" s="719">
        <v>67260</v>
      </c>
      <c r="I414" s="620"/>
    </row>
    <row r="415" spans="1:9" outlineLevel="1" x14ac:dyDescent="0.2">
      <c r="C415" s="712">
        <v>40086</v>
      </c>
      <c r="D415" s="718" t="s">
        <v>1856</v>
      </c>
      <c r="E415" s="718" t="s">
        <v>152</v>
      </c>
      <c r="F415" s="718" t="s">
        <v>84</v>
      </c>
      <c r="G415" s="718"/>
      <c r="H415" s="719">
        <v>671413</v>
      </c>
      <c r="I415" s="620"/>
    </row>
    <row r="416" spans="1:9" outlineLevel="1" x14ac:dyDescent="0.2">
      <c r="C416" s="712">
        <v>40087</v>
      </c>
      <c r="I416" s="620"/>
    </row>
    <row r="417" spans="1:9" outlineLevel="1" x14ac:dyDescent="0.2">
      <c r="A417" s="805" t="s">
        <v>411</v>
      </c>
      <c r="B417" s="716"/>
      <c r="C417" s="712">
        <v>40088</v>
      </c>
      <c r="D417" s="713" t="s">
        <v>983</v>
      </c>
      <c r="E417" s="713" t="s">
        <v>1931</v>
      </c>
      <c r="F417" s="718" t="s">
        <v>84</v>
      </c>
      <c r="G417" s="718"/>
      <c r="H417" s="701">
        <v>48000</v>
      </c>
      <c r="I417" s="620"/>
    </row>
    <row r="418" spans="1:9" outlineLevel="1" x14ac:dyDescent="0.2">
      <c r="C418" s="712">
        <v>40088</v>
      </c>
      <c r="D418" s="713" t="s">
        <v>983</v>
      </c>
      <c r="E418" s="718" t="s">
        <v>154</v>
      </c>
      <c r="F418" s="718" t="s">
        <v>84</v>
      </c>
      <c r="G418" s="718"/>
      <c r="H418" s="701">
        <v>10000</v>
      </c>
      <c r="I418" s="620"/>
    </row>
    <row r="419" spans="1:9" outlineLevel="1" x14ac:dyDescent="0.2">
      <c r="C419" s="712">
        <v>40088</v>
      </c>
      <c r="D419" s="713" t="s">
        <v>983</v>
      </c>
      <c r="E419" s="718" t="s">
        <v>155</v>
      </c>
      <c r="F419" s="718" t="s">
        <v>84</v>
      </c>
      <c r="G419" s="718"/>
      <c r="H419" s="701">
        <v>81000</v>
      </c>
      <c r="I419" s="620"/>
    </row>
    <row r="420" spans="1:9" outlineLevel="1" x14ac:dyDescent="0.2">
      <c r="C420" s="712">
        <v>40088</v>
      </c>
      <c r="D420" s="713" t="s">
        <v>983</v>
      </c>
      <c r="E420" s="718" t="s">
        <v>156</v>
      </c>
      <c r="F420" s="718" t="s">
        <v>1622</v>
      </c>
      <c r="G420" s="718"/>
      <c r="H420" s="701">
        <v>30000</v>
      </c>
      <c r="I420" s="620"/>
    </row>
    <row r="421" spans="1:9" outlineLevel="1" x14ac:dyDescent="0.2">
      <c r="C421" s="712">
        <v>40088</v>
      </c>
      <c r="D421" s="713" t="s">
        <v>983</v>
      </c>
      <c r="E421" s="713" t="s">
        <v>157</v>
      </c>
      <c r="F421" s="718" t="s">
        <v>84</v>
      </c>
      <c r="G421" s="718"/>
      <c r="H421" s="701">
        <v>69138</v>
      </c>
      <c r="I421" s="620"/>
    </row>
    <row r="422" spans="1:9" outlineLevel="1" x14ac:dyDescent="0.2">
      <c r="C422" s="712">
        <v>40088</v>
      </c>
      <c r="D422" s="718" t="s">
        <v>103</v>
      </c>
      <c r="E422" s="718" t="s">
        <v>165</v>
      </c>
      <c r="F422" s="718" t="s">
        <v>102</v>
      </c>
      <c r="G422" s="718" t="s">
        <v>518</v>
      </c>
      <c r="H422" s="701">
        <v>5500</v>
      </c>
      <c r="I422" s="620"/>
    </row>
    <row r="423" spans="1:9" outlineLevel="1" x14ac:dyDescent="0.2">
      <c r="C423" s="712">
        <v>40088</v>
      </c>
      <c r="D423" s="718" t="s">
        <v>1872</v>
      </c>
      <c r="E423" s="718" t="s">
        <v>159</v>
      </c>
      <c r="F423" s="718" t="s">
        <v>84</v>
      </c>
      <c r="G423" s="718"/>
      <c r="H423" s="719">
        <v>6000</v>
      </c>
      <c r="I423" s="620"/>
    </row>
    <row r="424" spans="1:9" outlineLevel="1" x14ac:dyDescent="0.2">
      <c r="C424" s="712">
        <v>40088</v>
      </c>
      <c r="D424" s="718" t="s">
        <v>1734</v>
      </c>
      <c r="E424" s="718" t="s">
        <v>158</v>
      </c>
      <c r="F424" s="718" t="s">
        <v>84</v>
      </c>
      <c r="G424" s="718"/>
      <c r="H424" s="719">
        <v>2000</v>
      </c>
      <c r="I424" s="620"/>
    </row>
    <row r="425" spans="1:9" outlineLevel="1" x14ac:dyDescent="0.2">
      <c r="C425" s="712">
        <v>40088</v>
      </c>
      <c r="D425" s="718" t="s">
        <v>1692</v>
      </c>
      <c r="E425" s="718" t="s">
        <v>164</v>
      </c>
      <c r="F425" s="718" t="s">
        <v>84</v>
      </c>
      <c r="G425" s="718"/>
      <c r="H425" s="719">
        <v>2850</v>
      </c>
      <c r="I425" s="620"/>
    </row>
    <row r="426" spans="1:9" outlineLevel="1" x14ac:dyDescent="0.2">
      <c r="C426" s="712">
        <v>40088</v>
      </c>
      <c r="D426" s="718" t="s">
        <v>43</v>
      </c>
      <c r="E426" s="718" t="s">
        <v>166</v>
      </c>
      <c r="F426" s="718" t="s">
        <v>1653</v>
      </c>
      <c r="G426" s="718" t="s">
        <v>518</v>
      </c>
      <c r="H426" s="719">
        <v>22990</v>
      </c>
      <c r="I426" s="620"/>
    </row>
    <row r="427" spans="1:9" outlineLevel="1" x14ac:dyDescent="0.2">
      <c r="A427" s="804" t="s">
        <v>408</v>
      </c>
      <c r="C427" s="712">
        <v>40089</v>
      </c>
      <c r="D427" s="713" t="s">
        <v>1442</v>
      </c>
      <c r="E427" s="713" t="s">
        <v>160</v>
      </c>
      <c r="F427" s="713" t="s">
        <v>84</v>
      </c>
      <c r="H427" s="701">
        <v>81000</v>
      </c>
      <c r="I427" s="620"/>
    </row>
    <row r="428" spans="1:9" outlineLevel="1" x14ac:dyDescent="0.2">
      <c r="C428" s="712">
        <v>40089</v>
      </c>
      <c r="D428" s="713" t="s">
        <v>162</v>
      </c>
      <c r="E428" s="713" t="s">
        <v>161</v>
      </c>
      <c r="F428" s="713" t="s">
        <v>84</v>
      </c>
      <c r="H428" s="701">
        <v>20000</v>
      </c>
      <c r="I428" s="620"/>
    </row>
    <row r="429" spans="1:9" outlineLevel="1" x14ac:dyDescent="0.2">
      <c r="C429" s="712">
        <v>40089</v>
      </c>
      <c r="D429" s="713" t="s">
        <v>1505</v>
      </c>
      <c r="E429" s="713" t="s">
        <v>163</v>
      </c>
      <c r="F429" s="713" t="s">
        <v>84</v>
      </c>
      <c r="H429" s="701">
        <v>23000</v>
      </c>
      <c r="I429" s="620"/>
    </row>
    <row r="430" spans="1:9" outlineLevel="1" x14ac:dyDescent="0.2">
      <c r="C430" s="712">
        <v>40090</v>
      </c>
      <c r="I430" s="620"/>
    </row>
    <row r="431" spans="1:9" outlineLevel="1" x14ac:dyDescent="0.2">
      <c r="C431" s="712">
        <v>40091</v>
      </c>
      <c r="D431" s="713" t="s">
        <v>168</v>
      </c>
      <c r="E431" s="713" t="s">
        <v>167</v>
      </c>
      <c r="F431" s="718" t="s">
        <v>1653</v>
      </c>
      <c r="G431" s="718" t="s">
        <v>518</v>
      </c>
      <c r="H431" s="701">
        <v>4900</v>
      </c>
      <c r="I431" s="620"/>
    </row>
    <row r="432" spans="1:9" outlineLevel="1" x14ac:dyDescent="0.2">
      <c r="A432" s="804" t="s">
        <v>408</v>
      </c>
      <c r="C432" s="712">
        <v>40092</v>
      </c>
      <c r="D432" s="713" t="s">
        <v>1505</v>
      </c>
      <c r="E432" s="713" t="s">
        <v>409</v>
      </c>
      <c r="F432" s="718" t="s">
        <v>84</v>
      </c>
      <c r="G432" s="718"/>
      <c r="H432" s="701">
        <v>115000</v>
      </c>
      <c r="I432" s="620"/>
    </row>
    <row r="433" spans="1:9" outlineLevel="1" x14ac:dyDescent="0.2">
      <c r="C433" s="712">
        <v>40093</v>
      </c>
      <c r="I433" s="620"/>
    </row>
    <row r="434" spans="1:9" outlineLevel="1" x14ac:dyDescent="0.2">
      <c r="C434" s="712">
        <v>40094</v>
      </c>
      <c r="I434" s="620"/>
    </row>
    <row r="435" spans="1:9" outlineLevel="1" x14ac:dyDescent="0.2">
      <c r="C435" s="712">
        <v>40095</v>
      </c>
      <c r="D435" s="718" t="s">
        <v>103</v>
      </c>
      <c r="E435" s="718" t="s">
        <v>169</v>
      </c>
      <c r="F435" s="718" t="s">
        <v>102</v>
      </c>
      <c r="G435" s="718" t="s">
        <v>518</v>
      </c>
      <c r="H435" s="701">
        <v>2520</v>
      </c>
      <c r="I435" s="620"/>
    </row>
    <row r="436" spans="1:9" outlineLevel="1" x14ac:dyDescent="0.2">
      <c r="C436" s="712">
        <v>40095</v>
      </c>
      <c r="D436" s="718" t="s">
        <v>191</v>
      </c>
      <c r="E436" s="718" t="s">
        <v>170</v>
      </c>
      <c r="F436" s="718" t="s">
        <v>102</v>
      </c>
      <c r="G436" s="718"/>
      <c r="H436" s="701">
        <v>5000</v>
      </c>
      <c r="I436" s="620"/>
    </row>
    <row r="437" spans="1:9" outlineLevel="1" x14ac:dyDescent="0.2">
      <c r="C437" s="712">
        <v>40096</v>
      </c>
      <c r="I437" s="620"/>
    </row>
    <row r="438" spans="1:9" outlineLevel="1" x14ac:dyDescent="0.2">
      <c r="C438" s="712">
        <v>40097</v>
      </c>
      <c r="I438" s="620"/>
    </row>
    <row r="439" spans="1:9" outlineLevel="1" x14ac:dyDescent="0.2">
      <c r="C439" s="712">
        <v>40098</v>
      </c>
      <c r="I439" s="620"/>
    </row>
    <row r="440" spans="1:9" outlineLevel="1" x14ac:dyDescent="0.2">
      <c r="C440" s="712">
        <v>40099</v>
      </c>
      <c r="I440" s="620"/>
    </row>
    <row r="441" spans="1:9" outlineLevel="1" x14ac:dyDescent="0.2">
      <c r="A441" s="804" t="s">
        <v>408</v>
      </c>
      <c r="C441" s="712">
        <v>40100</v>
      </c>
      <c r="D441" s="713" t="s">
        <v>1505</v>
      </c>
      <c r="E441" s="713" t="s">
        <v>410</v>
      </c>
      <c r="F441" s="713" t="s">
        <v>84</v>
      </c>
      <c r="H441" s="701">
        <v>181000</v>
      </c>
      <c r="I441" s="620"/>
    </row>
    <row r="442" spans="1:9" outlineLevel="1" x14ac:dyDescent="0.2">
      <c r="C442" s="712">
        <v>40101</v>
      </c>
      <c r="I442" s="620"/>
    </row>
    <row r="443" spans="1:9" outlineLevel="1" x14ac:dyDescent="0.2">
      <c r="C443" s="712">
        <v>40102</v>
      </c>
      <c r="I443" s="620"/>
    </row>
    <row r="444" spans="1:9" outlineLevel="1" x14ac:dyDescent="0.2">
      <c r="C444" s="712">
        <v>40103</v>
      </c>
      <c r="I444" s="620"/>
    </row>
    <row r="445" spans="1:9" outlineLevel="1" x14ac:dyDescent="0.2">
      <c r="C445" s="712">
        <v>40104</v>
      </c>
      <c r="I445" s="619">
        <v>-150000</v>
      </c>
    </row>
    <row r="446" spans="1:9" outlineLevel="1" x14ac:dyDescent="0.2">
      <c r="C446" s="712">
        <v>40105</v>
      </c>
      <c r="D446" s="713" t="s">
        <v>367</v>
      </c>
      <c r="E446" s="713" t="s">
        <v>368</v>
      </c>
      <c r="F446" s="713" t="s">
        <v>1653</v>
      </c>
      <c r="G446" s="713" t="s">
        <v>518</v>
      </c>
      <c r="H446" s="701">
        <v>1990</v>
      </c>
      <c r="I446" s="620"/>
    </row>
    <row r="447" spans="1:9" ht="140.25" outlineLevel="1" x14ac:dyDescent="0.2">
      <c r="A447" s="805" t="s">
        <v>1574</v>
      </c>
      <c r="B447" s="716" t="s">
        <v>515</v>
      </c>
      <c r="C447" s="712">
        <v>40106</v>
      </c>
      <c r="D447" s="718" t="s">
        <v>1858</v>
      </c>
      <c r="E447" s="718" t="s">
        <v>173</v>
      </c>
      <c r="F447" s="718" t="s">
        <v>102</v>
      </c>
      <c r="G447" s="718"/>
      <c r="H447" s="719">
        <v>203230</v>
      </c>
      <c r="I447" s="620"/>
    </row>
    <row r="448" spans="1:9" ht="89.25" outlineLevel="1" x14ac:dyDescent="0.2">
      <c r="A448" s="805" t="s">
        <v>1574</v>
      </c>
      <c r="B448" s="716" t="s">
        <v>604</v>
      </c>
      <c r="C448" s="712">
        <v>40107</v>
      </c>
      <c r="D448" s="718" t="s">
        <v>1858</v>
      </c>
      <c r="E448" s="718" t="s">
        <v>185</v>
      </c>
      <c r="F448" s="718" t="s">
        <v>102</v>
      </c>
      <c r="G448" s="718"/>
      <c r="H448" s="719">
        <v>200000</v>
      </c>
      <c r="I448" s="620"/>
    </row>
    <row r="449" spans="1:9" outlineLevel="1" x14ac:dyDescent="0.2">
      <c r="C449" s="712">
        <v>40107</v>
      </c>
      <c r="D449" s="718" t="s">
        <v>103</v>
      </c>
      <c r="E449" s="718" t="s">
        <v>186</v>
      </c>
      <c r="F449" s="718" t="s">
        <v>102</v>
      </c>
      <c r="G449" s="718" t="s">
        <v>518</v>
      </c>
      <c r="H449" s="701">
        <v>19920</v>
      </c>
      <c r="I449" s="620"/>
    </row>
    <row r="450" spans="1:9" outlineLevel="1" x14ac:dyDescent="0.2">
      <c r="C450" s="712">
        <v>40107</v>
      </c>
      <c r="D450" s="713" t="s">
        <v>187</v>
      </c>
      <c r="E450" s="713" t="s">
        <v>188</v>
      </c>
      <c r="F450" s="713" t="s">
        <v>1653</v>
      </c>
      <c r="H450" s="701">
        <v>1200</v>
      </c>
      <c r="I450" s="620"/>
    </row>
    <row r="451" spans="1:9" outlineLevel="1" x14ac:dyDescent="0.2">
      <c r="C451" s="712">
        <v>40108</v>
      </c>
      <c r="I451" s="620"/>
    </row>
    <row r="452" spans="1:9" outlineLevel="1" x14ac:dyDescent="0.2">
      <c r="C452" s="712">
        <v>40109</v>
      </c>
      <c r="I452" s="620"/>
    </row>
    <row r="453" spans="1:9" ht="99.75" customHeight="1" outlineLevel="1" x14ac:dyDescent="0.2">
      <c r="A453" s="804" t="s">
        <v>1574</v>
      </c>
      <c r="B453" s="715" t="s">
        <v>602</v>
      </c>
      <c r="C453" s="712">
        <v>40110</v>
      </c>
      <c r="I453" s="620"/>
    </row>
    <row r="454" spans="1:9" outlineLevel="1" x14ac:dyDescent="0.2">
      <c r="C454" s="712">
        <v>40111</v>
      </c>
      <c r="I454" s="620"/>
    </row>
    <row r="455" spans="1:9" outlineLevel="1" x14ac:dyDescent="0.2">
      <c r="C455" s="712">
        <v>40112</v>
      </c>
      <c r="D455" s="718" t="s">
        <v>1858</v>
      </c>
      <c r="E455" s="718" t="s">
        <v>189</v>
      </c>
      <c r="F455" s="718" t="s">
        <v>102</v>
      </c>
      <c r="G455" s="718"/>
      <c r="H455" s="719">
        <v>299000</v>
      </c>
      <c r="I455" s="620"/>
    </row>
    <row r="456" spans="1:9" outlineLevel="1" x14ac:dyDescent="0.2">
      <c r="C456" s="712">
        <v>40113</v>
      </c>
      <c r="D456" s="718" t="s">
        <v>103</v>
      </c>
      <c r="E456" s="718" t="s">
        <v>190</v>
      </c>
      <c r="F456" s="718" t="s">
        <v>102</v>
      </c>
      <c r="G456" s="718" t="s">
        <v>518</v>
      </c>
      <c r="H456" s="701">
        <v>17448</v>
      </c>
    </row>
    <row r="457" spans="1:9" outlineLevel="1" x14ac:dyDescent="0.2">
      <c r="C457" s="712">
        <v>40113</v>
      </c>
      <c r="D457" s="718" t="s">
        <v>191</v>
      </c>
      <c r="E457" s="718" t="s">
        <v>170</v>
      </c>
      <c r="F457" s="718" t="s">
        <v>102</v>
      </c>
      <c r="G457" s="718"/>
      <c r="H457" s="701">
        <v>5000</v>
      </c>
    </row>
    <row r="458" spans="1:9" outlineLevel="1" x14ac:dyDescent="0.2">
      <c r="C458" s="712">
        <v>40113</v>
      </c>
      <c r="D458" s="718" t="s">
        <v>1872</v>
      </c>
      <c r="E458" s="718" t="s">
        <v>192</v>
      </c>
      <c r="F458" s="718" t="s">
        <v>102</v>
      </c>
      <c r="G458" s="718"/>
      <c r="H458" s="719">
        <v>380</v>
      </c>
    </row>
    <row r="459" spans="1:9" ht="89.25" outlineLevel="1" x14ac:dyDescent="0.2">
      <c r="A459" s="804" t="s">
        <v>1574</v>
      </c>
      <c r="B459" s="715" t="s">
        <v>601</v>
      </c>
      <c r="C459" s="712">
        <v>40114</v>
      </c>
      <c r="D459" s="713" t="s">
        <v>1345</v>
      </c>
      <c r="E459" s="713" t="s">
        <v>234</v>
      </c>
      <c r="F459" s="713" t="s">
        <v>1540</v>
      </c>
      <c r="G459" s="713" t="s">
        <v>518</v>
      </c>
      <c r="H459" s="701">
        <v>16000</v>
      </c>
    </row>
    <row r="460" spans="1:9" ht="102" outlineLevel="1" x14ac:dyDescent="0.2">
      <c r="A460" s="804" t="s">
        <v>1574</v>
      </c>
      <c r="B460" s="715" t="s">
        <v>605</v>
      </c>
      <c r="C460" s="712">
        <v>40115</v>
      </c>
    </row>
    <row r="461" spans="1:9" ht="89.25" outlineLevel="1" x14ac:dyDescent="0.2">
      <c r="A461" s="805" t="s">
        <v>1574</v>
      </c>
      <c r="B461" s="716" t="s">
        <v>600</v>
      </c>
      <c r="C461" s="712">
        <v>40116</v>
      </c>
      <c r="D461" s="718" t="s">
        <v>103</v>
      </c>
      <c r="E461" s="718" t="s">
        <v>235</v>
      </c>
      <c r="F461" s="718" t="s">
        <v>102</v>
      </c>
      <c r="G461" s="718" t="s">
        <v>518</v>
      </c>
      <c r="H461" s="701">
        <v>18700</v>
      </c>
    </row>
    <row r="462" spans="1:9" outlineLevel="1" x14ac:dyDescent="0.2">
      <c r="A462" s="805"/>
      <c r="B462" s="716"/>
      <c r="C462" s="712">
        <v>40116</v>
      </c>
      <c r="D462" s="718" t="s">
        <v>1858</v>
      </c>
      <c r="E462" s="718" t="s">
        <v>404</v>
      </c>
      <c r="F462" s="718" t="s">
        <v>102</v>
      </c>
      <c r="G462" s="718"/>
      <c r="H462" s="719">
        <v>3200</v>
      </c>
    </row>
    <row r="463" spans="1:9" outlineLevel="1" x14ac:dyDescent="0.2">
      <c r="C463" s="712">
        <v>40116</v>
      </c>
      <c r="D463" s="718" t="s">
        <v>1858</v>
      </c>
      <c r="E463" s="718" t="s">
        <v>405</v>
      </c>
      <c r="F463" s="718" t="s">
        <v>102</v>
      </c>
      <c r="G463" s="718"/>
      <c r="H463" s="719">
        <v>4410</v>
      </c>
    </row>
    <row r="464" spans="1:9" ht="89.25" outlineLevel="1" x14ac:dyDescent="0.2">
      <c r="A464" s="805" t="s">
        <v>1574</v>
      </c>
      <c r="B464" s="716" t="s">
        <v>1953</v>
      </c>
      <c r="C464" s="712">
        <v>40117</v>
      </c>
      <c r="D464" s="718" t="s">
        <v>406</v>
      </c>
      <c r="E464" s="718" t="s">
        <v>407</v>
      </c>
      <c r="F464" s="718" t="s">
        <v>102</v>
      </c>
      <c r="G464" s="718" t="s">
        <v>518</v>
      </c>
      <c r="H464" s="701">
        <v>600664</v>
      </c>
    </row>
    <row r="465" spans="1:10" outlineLevel="1" x14ac:dyDescent="0.2">
      <c r="C465" s="712">
        <v>40118</v>
      </c>
    </row>
    <row r="466" spans="1:10" ht="25.5" outlineLevel="1" x14ac:dyDescent="0.2">
      <c r="A466" s="804" t="s">
        <v>1574</v>
      </c>
      <c r="B466" s="715" t="s">
        <v>516</v>
      </c>
      <c r="C466" s="712">
        <v>40119</v>
      </c>
    </row>
    <row r="467" spans="1:10" ht="25.5" outlineLevel="1" x14ac:dyDescent="0.2">
      <c r="A467" s="804" t="s">
        <v>1574</v>
      </c>
      <c r="B467" s="715" t="s">
        <v>606</v>
      </c>
      <c r="C467" s="712">
        <v>40120</v>
      </c>
      <c r="D467" s="713" t="s">
        <v>489</v>
      </c>
      <c r="E467" s="713" t="s">
        <v>416</v>
      </c>
      <c r="F467" s="713" t="s">
        <v>102</v>
      </c>
      <c r="H467" s="701">
        <v>63730</v>
      </c>
      <c r="I467" s="620">
        <v>-1000000</v>
      </c>
    </row>
    <row r="468" spans="1:10" outlineLevel="1" x14ac:dyDescent="0.2">
      <c r="C468" s="712">
        <v>40120</v>
      </c>
      <c r="D468" s="713" t="s">
        <v>489</v>
      </c>
      <c r="E468" s="713" t="s">
        <v>417</v>
      </c>
      <c r="F468" s="713" t="s">
        <v>102</v>
      </c>
      <c r="H468" s="701">
        <v>11000</v>
      </c>
    </row>
    <row r="469" spans="1:10" outlineLevel="1" x14ac:dyDescent="0.2">
      <c r="C469" s="712">
        <v>40120</v>
      </c>
      <c r="D469" s="718" t="s">
        <v>1652</v>
      </c>
      <c r="E469" s="718" t="s">
        <v>425</v>
      </c>
      <c r="F469" s="718" t="s">
        <v>102</v>
      </c>
      <c r="G469" s="718"/>
      <c r="H469" s="719">
        <v>1350</v>
      </c>
    </row>
    <row r="470" spans="1:10" ht="191.25" outlineLevel="1" x14ac:dyDescent="0.2">
      <c r="A470" s="804" t="s">
        <v>1574</v>
      </c>
      <c r="B470" s="715" t="s">
        <v>599</v>
      </c>
      <c r="C470" s="712">
        <v>40121</v>
      </c>
      <c r="D470" s="718" t="s">
        <v>103</v>
      </c>
      <c r="E470" s="718" t="s">
        <v>422</v>
      </c>
      <c r="F470" s="718" t="s">
        <v>102</v>
      </c>
      <c r="G470" s="718"/>
      <c r="H470" s="701">
        <v>5200</v>
      </c>
    </row>
    <row r="471" spans="1:10" outlineLevel="1" x14ac:dyDescent="0.2">
      <c r="C471" s="712">
        <v>40121</v>
      </c>
      <c r="D471" s="718" t="s">
        <v>423</v>
      </c>
      <c r="E471" s="718" t="s">
        <v>424</v>
      </c>
      <c r="F471" s="718" t="s">
        <v>102</v>
      </c>
      <c r="G471" s="718" t="s">
        <v>518</v>
      </c>
      <c r="H471" s="701">
        <v>53305</v>
      </c>
      <c r="I471" s="617">
        <v>6500</v>
      </c>
      <c r="J471" s="600" t="s">
        <v>426</v>
      </c>
    </row>
    <row r="472" spans="1:10" outlineLevel="1" x14ac:dyDescent="0.2">
      <c r="C472" s="712">
        <v>40122</v>
      </c>
      <c r="D472" s="718" t="s">
        <v>1652</v>
      </c>
      <c r="E472" s="718" t="s">
        <v>428</v>
      </c>
      <c r="F472" s="718" t="s">
        <v>102</v>
      </c>
      <c r="G472" s="718" t="s">
        <v>518</v>
      </c>
      <c r="H472" s="719">
        <v>3550</v>
      </c>
      <c r="I472" s="617">
        <v>7000</v>
      </c>
      <c r="J472" s="600" t="s">
        <v>427</v>
      </c>
    </row>
    <row r="473" spans="1:10" outlineLevel="1" x14ac:dyDescent="0.2">
      <c r="C473" s="712">
        <v>40122</v>
      </c>
      <c r="D473" s="718" t="s">
        <v>1858</v>
      </c>
      <c r="E473" s="718" t="s">
        <v>429</v>
      </c>
      <c r="F473" s="718" t="s">
        <v>102</v>
      </c>
      <c r="G473" s="718"/>
      <c r="H473" s="719">
        <v>179500</v>
      </c>
    </row>
    <row r="474" spans="1:10" s="726" customFormat="1" ht="38.25" outlineLevel="1" x14ac:dyDescent="0.2">
      <c r="A474" s="806" t="s">
        <v>1574</v>
      </c>
      <c r="B474" s="720" t="s">
        <v>597</v>
      </c>
      <c r="C474" s="721">
        <v>40123</v>
      </c>
      <c r="D474" s="722" t="s">
        <v>489</v>
      </c>
      <c r="E474" s="722" t="s">
        <v>502</v>
      </c>
      <c r="F474" s="722"/>
      <c r="G474" s="722"/>
      <c r="H474" s="723"/>
      <c r="I474" s="724"/>
      <c r="J474" s="725"/>
    </row>
    <row r="475" spans="1:10" ht="38.25" outlineLevel="1" x14ac:dyDescent="0.2">
      <c r="A475" s="804" t="s">
        <v>1574</v>
      </c>
      <c r="B475" s="715" t="s">
        <v>597</v>
      </c>
      <c r="C475" s="712">
        <v>40124</v>
      </c>
    </row>
    <row r="476" spans="1:10" outlineLevel="1" x14ac:dyDescent="0.2">
      <c r="C476" s="712">
        <v>40125</v>
      </c>
      <c r="I476" s="617">
        <v>5000</v>
      </c>
      <c r="J476" s="600" t="s">
        <v>465</v>
      </c>
    </row>
    <row r="477" spans="1:10" ht="38.25" outlineLevel="1" x14ac:dyDescent="0.2">
      <c r="A477" s="804" t="s">
        <v>1574</v>
      </c>
      <c r="B477" s="715" t="s">
        <v>598</v>
      </c>
      <c r="C477" s="712">
        <v>40126</v>
      </c>
    </row>
    <row r="478" spans="1:10" outlineLevel="1" x14ac:dyDescent="0.2">
      <c r="C478" s="712">
        <v>40127</v>
      </c>
    </row>
    <row r="479" spans="1:10" outlineLevel="1" x14ac:dyDescent="0.2">
      <c r="C479" s="712">
        <v>40128</v>
      </c>
      <c r="D479" s="718" t="s">
        <v>464</v>
      </c>
      <c r="E479" s="718" t="s">
        <v>463</v>
      </c>
      <c r="F479" s="718" t="s">
        <v>102</v>
      </c>
      <c r="G479" s="718" t="s">
        <v>518</v>
      </c>
      <c r="H479" s="719">
        <v>1630</v>
      </c>
    </row>
    <row r="480" spans="1:10" ht="85.5" customHeight="1" outlineLevel="1" x14ac:dyDescent="0.2">
      <c r="A480" s="804" t="s">
        <v>1574</v>
      </c>
      <c r="B480" s="397" t="s">
        <v>603</v>
      </c>
      <c r="C480" s="712">
        <v>40129</v>
      </c>
      <c r="D480" s="718" t="s">
        <v>462</v>
      </c>
      <c r="E480" s="718" t="s">
        <v>461</v>
      </c>
      <c r="F480" s="718" t="s">
        <v>102</v>
      </c>
      <c r="G480" s="718" t="s">
        <v>518</v>
      </c>
      <c r="H480" s="719">
        <v>25988</v>
      </c>
      <c r="I480" s="617">
        <v>11650</v>
      </c>
      <c r="J480" s="600" t="s">
        <v>465</v>
      </c>
    </row>
    <row r="481" spans="1:10" ht="165.75" outlineLevel="1" x14ac:dyDescent="0.2">
      <c r="A481" s="804" t="s">
        <v>1574</v>
      </c>
      <c r="B481" s="715" t="s">
        <v>607</v>
      </c>
      <c r="C481" s="712">
        <v>40130</v>
      </c>
      <c r="D481" s="718" t="s">
        <v>471</v>
      </c>
      <c r="E481" s="718" t="s">
        <v>470</v>
      </c>
      <c r="F481" s="718" t="s">
        <v>102</v>
      </c>
      <c r="G481" s="718" t="s">
        <v>518</v>
      </c>
      <c r="H481" s="719">
        <v>40245</v>
      </c>
    </row>
    <row r="482" spans="1:10" outlineLevel="1" x14ac:dyDescent="0.2">
      <c r="C482" s="712">
        <v>40130</v>
      </c>
      <c r="D482" s="718" t="s">
        <v>473</v>
      </c>
      <c r="E482" s="718" t="s">
        <v>472</v>
      </c>
      <c r="F482" s="718" t="s">
        <v>102</v>
      </c>
      <c r="G482" s="718" t="s">
        <v>518</v>
      </c>
      <c r="H482" s="719">
        <v>118545</v>
      </c>
    </row>
    <row r="483" spans="1:10" outlineLevel="1" x14ac:dyDescent="0.2">
      <c r="C483" s="712">
        <v>40130</v>
      </c>
      <c r="D483" s="713" t="s">
        <v>474</v>
      </c>
      <c r="E483" s="713" t="s">
        <v>480</v>
      </c>
      <c r="F483" s="718" t="s">
        <v>1653</v>
      </c>
      <c r="G483" s="718"/>
      <c r="H483" s="701">
        <v>12800</v>
      </c>
      <c r="I483" s="617">
        <v>4650</v>
      </c>
      <c r="J483" s="600" t="s">
        <v>479</v>
      </c>
    </row>
    <row r="484" spans="1:10" outlineLevel="1" x14ac:dyDescent="0.2">
      <c r="C484" s="712">
        <v>40131</v>
      </c>
      <c r="D484" s="718" t="s">
        <v>1858</v>
      </c>
      <c r="E484" s="718" t="s">
        <v>476</v>
      </c>
      <c r="F484" s="718" t="s">
        <v>102</v>
      </c>
      <c r="G484" s="718"/>
      <c r="H484" s="719">
        <v>28500</v>
      </c>
      <c r="I484" s="617">
        <v>10500</v>
      </c>
      <c r="J484" s="600" t="s">
        <v>427</v>
      </c>
    </row>
    <row r="485" spans="1:10" outlineLevel="1" x14ac:dyDescent="0.2">
      <c r="C485" s="712">
        <v>40132</v>
      </c>
      <c r="D485" s="718" t="s">
        <v>473</v>
      </c>
      <c r="E485" s="718" t="s">
        <v>477</v>
      </c>
      <c r="F485" s="718" t="s">
        <v>102</v>
      </c>
      <c r="G485" s="718" t="s">
        <v>518</v>
      </c>
      <c r="H485" s="719">
        <v>-17845</v>
      </c>
      <c r="I485" s="617">
        <v>13700</v>
      </c>
      <c r="J485" s="600" t="s">
        <v>475</v>
      </c>
    </row>
    <row r="486" spans="1:10" outlineLevel="1" x14ac:dyDescent="0.2">
      <c r="C486" s="712">
        <v>40132</v>
      </c>
      <c r="D486" s="718" t="s">
        <v>478</v>
      </c>
      <c r="E486" s="718" t="s">
        <v>519</v>
      </c>
      <c r="F486" s="718" t="s">
        <v>485</v>
      </c>
      <c r="G486" s="718" t="s">
        <v>518</v>
      </c>
      <c r="H486" s="719">
        <v>72000</v>
      </c>
    </row>
    <row r="487" spans="1:10" outlineLevel="1" x14ac:dyDescent="0.2">
      <c r="C487" s="712">
        <v>40132</v>
      </c>
      <c r="D487" s="718" t="s">
        <v>478</v>
      </c>
      <c r="E487" s="718" t="s">
        <v>519</v>
      </c>
      <c r="F487" s="718" t="s">
        <v>485</v>
      </c>
      <c r="G487" s="718"/>
      <c r="H487" s="719">
        <v>57600</v>
      </c>
    </row>
    <row r="488" spans="1:10" outlineLevel="1" x14ac:dyDescent="0.2">
      <c r="C488" s="712">
        <v>40133</v>
      </c>
      <c r="D488" s="718" t="s">
        <v>86</v>
      </c>
      <c r="E488" s="718" t="s">
        <v>88</v>
      </c>
      <c r="F488" s="718" t="s">
        <v>84</v>
      </c>
      <c r="G488" s="718"/>
      <c r="H488" s="719">
        <v>163000</v>
      </c>
      <c r="I488" s="617">
        <v>1600</v>
      </c>
      <c r="J488" s="600" t="s">
        <v>427</v>
      </c>
    </row>
    <row r="489" spans="1:10" outlineLevel="1" x14ac:dyDescent="0.2">
      <c r="C489" s="712">
        <v>40133</v>
      </c>
      <c r="D489" s="718" t="s">
        <v>1858</v>
      </c>
      <c r="E489" s="718" t="s">
        <v>1287</v>
      </c>
      <c r="F489" s="718" t="s">
        <v>84</v>
      </c>
      <c r="G489" s="718"/>
      <c r="H489" s="719">
        <v>7000</v>
      </c>
    </row>
    <row r="490" spans="1:10" outlineLevel="1" x14ac:dyDescent="0.2">
      <c r="C490" s="712">
        <v>40133</v>
      </c>
      <c r="D490" s="713" t="s">
        <v>1121</v>
      </c>
      <c r="E490" s="718" t="s">
        <v>481</v>
      </c>
      <c r="F490" s="718" t="s">
        <v>102</v>
      </c>
      <c r="G490" s="718" t="s">
        <v>518</v>
      </c>
      <c r="H490" s="719">
        <v>9495</v>
      </c>
    </row>
    <row r="491" spans="1:10" outlineLevel="1" x14ac:dyDescent="0.2">
      <c r="C491" s="712">
        <v>40133</v>
      </c>
      <c r="D491" s="713" t="s">
        <v>1121</v>
      </c>
      <c r="E491" s="718" t="s">
        <v>482</v>
      </c>
      <c r="F491" s="718" t="s">
        <v>1653</v>
      </c>
      <c r="G491" s="718"/>
      <c r="H491" s="719">
        <v>1800</v>
      </c>
    </row>
    <row r="492" spans="1:10" outlineLevel="1" x14ac:dyDescent="0.2">
      <c r="C492" s="712">
        <v>40134</v>
      </c>
    </row>
    <row r="493" spans="1:10" outlineLevel="1" x14ac:dyDescent="0.2">
      <c r="C493" s="712">
        <v>40135</v>
      </c>
    </row>
    <row r="494" spans="1:10" outlineLevel="1" x14ac:dyDescent="0.2">
      <c r="A494" s="804" t="s">
        <v>987</v>
      </c>
      <c r="C494" s="712">
        <v>40136</v>
      </c>
      <c r="D494" s="718" t="s">
        <v>483</v>
      </c>
      <c r="E494" s="718" t="s">
        <v>484</v>
      </c>
      <c r="F494" s="718" t="s">
        <v>485</v>
      </c>
      <c r="G494" s="718"/>
      <c r="H494" s="719">
        <v>25000</v>
      </c>
      <c r="I494" s="617">
        <v>2000</v>
      </c>
      <c r="J494" s="600" t="s">
        <v>427</v>
      </c>
    </row>
    <row r="495" spans="1:10" outlineLevel="1" x14ac:dyDescent="0.2">
      <c r="C495" s="712">
        <v>40136</v>
      </c>
      <c r="D495" s="718" t="s">
        <v>898</v>
      </c>
      <c r="E495" s="718" t="s">
        <v>486</v>
      </c>
      <c r="F495" s="718" t="s">
        <v>485</v>
      </c>
      <c r="G495" s="718"/>
      <c r="H495" s="719">
        <v>24000</v>
      </c>
      <c r="I495" s="617">
        <v>30000</v>
      </c>
      <c r="J495" s="600" t="s">
        <v>490</v>
      </c>
    </row>
    <row r="496" spans="1:10" outlineLevel="1" x14ac:dyDescent="0.2">
      <c r="C496" s="712">
        <v>40136</v>
      </c>
      <c r="D496" s="718" t="s">
        <v>488</v>
      </c>
      <c r="E496" s="718" t="s">
        <v>487</v>
      </c>
      <c r="F496" s="718" t="s">
        <v>485</v>
      </c>
      <c r="G496" s="718"/>
      <c r="H496" s="719">
        <v>30000</v>
      </c>
    </row>
    <row r="497" spans="1:10" outlineLevel="1" x14ac:dyDescent="0.2">
      <c r="C497" s="712">
        <v>40136</v>
      </c>
      <c r="D497" s="713" t="s">
        <v>474</v>
      </c>
      <c r="E497" s="718" t="s">
        <v>1735</v>
      </c>
      <c r="F497" s="718" t="s">
        <v>485</v>
      </c>
      <c r="G497" s="718"/>
      <c r="H497" s="719">
        <v>500</v>
      </c>
    </row>
    <row r="498" spans="1:10" outlineLevel="1" x14ac:dyDescent="0.2">
      <c r="A498" s="804" t="s">
        <v>987</v>
      </c>
      <c r="C498" s="712">
        <v>40137</v>
      </c>
    </row>
    <row r="499" spans="1:10" outlineLevel="1" x14ac:dyDescent="0.2">
      <c r="C499" s="712">
        <v>40138</v>
      </c>
    </row>
    <row r="500" spans="1:10" outlineLevel="1" x14ac:dyDescent="0.2">
      <c r="C500" s="712">
        <v>40139</v>
      </c>
    </row>
    <row r="501" spans="1:10" outlineLevel="1" x14ac:dyDescent="0.2">
      <c r="C501" s="712">
        <v>40140</v>
      </c>
    </row>
    <row r="502" spans="1:10" outlineLevel="1" x14ac:dyDescent="0.2">
      <c r="C502" s="712">
        <v>40141</v>
      </c>
      <c r="D502" s="718" t="s">
        <v>483</v>
      </c>
      <c r="E502" s="718" t="s">
        <v>987</v>
      </c>
      <c r="F502" s="718" t="s">
        <v>485</v>
      </c>
      <c r="G502" s="718"/>
      <c r="H502" s="719">
        <v>90000</v>
      </c>
    </row>
    <row r="503" spans="1:10" outlineLevel="1" x14ac:dyDescent="0.2">
      <c r="A503" s="804" t="s">
        <v>493</v>
      </c>
      <c r="C503" s="712">
        <v>40142</v>
      </c>
    </row>
    <row r="504" spans="1:10" outlineLevel="1" x14ac:dyDescent="0.2">
      <c r="A504" s="804" t="s">
        <v>493</v>
      </c>
      <c r="C504" s="712">
        <v>40143</v>
      </c>
      <c r="D504" s="718" t="s">
        <v>492</v>
      </c>
      <c r="E504" s="718" t="s">
        <v>504</v>
      </c>
      <c r="F504" s="718" t="s">
        <v>485</v>
      </c>
      <c r="G504" s="718"/>
      <c r="H504" s="719">
        <v>60000</v>
      </c>
    </row>
    <row r="505" spans="1:10" ht="51" outlineLevel="1" x14ac:dyDescent="0.2">
      <c r="A505" s="804" t="s">
        <v>1574</v>
      </c>
      <c r="B505" s="715" t="s">
        <v>517</v>
      </c>
      <c r="C505" s="712">
        <v>40143</v>
      </c>
      <c r="D505" s="718" t="s">
        <v>898</v>
      </c>
      <c r="E505" s="718" t="s">
        <v>503</v>
      </c>
      <c r="F505" s="718" t="s">
        <v>485</v>
      </c>
      <c r="G505" s="718" t="s">
        <v>518</v>
      </c>
      <c r="H505" s="719">
        <v>6000</v>
      </c>
    </row>
    <row r="506" spans="1:10" s="718" customFormat="1" outlineLevel="1" x14ac:dyDescent="0.2">
      <c r="A506" s="805"/>
      <c r="B506" s="716"/>
      <c r="C506" s="717">
        <v>40144</v>
      </c>
      <c r="D506" s="718" t="s">
        <v>1856</v>
      </c>
      <c r="E506" s="718" t="s">
        <v>496</v>
      </c>
      <c r="F506" s="718" t="s">
        <v>485</v>
      </c>
      <c r="H506" s="719">
        <v>6000</v>
      </c>
      <c r="I506" s="618" t="s">
        <v>898</v>
      </c>
      <c r="J506" s="601"/>
    </row>
    <row r="507" spans="1:10" s="718" customFormat="1" outlineLevel="1" x14ac:dyDescent="0.2">
      <c r="A507" s="805"/>
      <c r="B507" s="716"/>
      <c r="C507" s="717">
        <v>40144</v>
      </c>
      <c r="D507" s="718" t="s">
        <v>1856</v>
      </c>
      <c r="E507" s="718" t="s">
        <v>498</v>
      </c>
      <c r="F507" s="718" t="s">
        <v>485</v>
      </c>
      <c r="H507" s="719">
        <v>-6600</v>
      </c>
      <c r="I507" s="618" t="s">
        <v>898</v>
      </c>
      <c r="J507" s="601"/>
    </row>
    <row r="508" spans="1:10" s="718" customFormat="1" outlineLevel="1" x14ac:dyDescent="0.2">
      <c r="A508" s="805"/>
      <c r="B508" s="716"/>
      <c r="C508" s="717">
        <v>40144</v>
      </c>
      <c r="D508" s="718" t="s">
        <v>1856</v>
      </c>
      <c r="E508" s="718" t="s">
        <v>499</v>
      </c>
      <c r="F508" s="339" t="s">
        <v>84</v>
      </c>
      <c r="H508" s="719">
        <v>-13000</v>
      </c>
      <c r="I508" s="618" t="s">
        <v>898</v>
      </c>
      <c r="J508" s="601"/>
    </row>
    <row r="509" spans="1:10" s="718" customFormat="1" outlineLevel="1" x14ac:dyDescent="0.2">
      <c r="A509" s="805"/>
      <c r="B509" s="716"/>
      <c r="C509" s="717">
        <v>40144</v>
      </c>
      <c r="D509" s="718" t="s">
        <v>1856</v>
      </c>
      <c r="E509" s="718" t="s">
        <v>500</v>
      </c>
      <c r="F509" s="718" t="s">
        <v>485</v>
      </c>
      <c r="H509" s="719">
        <v>-12000</v>
      </c>
      <c r="I509" s="618" t="s">
        <v>898</v>
      </c>
      <c r="J509" s="601"/>
    </row>
    <row r="510" spans="1:10" s="718" customFormat="1" outlineLevel="1" x14ac:dyDescent="0.2">
      <c r="A510" s="805"/>
      <c r="B510" s="716"/>
      <c r="C510" s="717">
        <v>40144</v>
      </c>
      <c r="D510" s="718" t="s">
        <v>1856</v>
      </c>
      <c r="E510" s="718" t="s">
        <v>501</v>
      </c>
      <c r="F510" s="718" t="s">
        <v>84</v>
      </c>
      <c r="H510" s="719">
        <v>0</v>
      </c>
      <c r="I510" s="618" t="s">
        <v>898</v>
      </c>
      <c r="J510" s="601"/>
    </row>
    <row r="511" spans="1:10" s="718" customFormat="1" outlineLevel="1" x14ac:dyDescent="0.2">
      <c r="A511" s="805"/>
      <c r="B511" s="716"/>
      <c r="C511" s="717">
        <v>40144</v>
      </c>
      <c r="D511" s="718" t="s">
        <v>1442</v>
      </c>
      <c r="E511" s="718" t="s">
        <v>497</v>
      </c>
      <c r="F511" s="718" t="s">
        <v>485</v>
      </c>
      <c r="H511" s="719">
        <v>15400</v>
      </c>
      <c r="I511" s="618"/>
      <c r="J511" s="601"/>
    </row>
    <row r="512" spans="1:10" s="718" customFormat="1" outlineLevel="1" x14ac:dyDescent="0.2">
      <c r="A512" s="805"/>
      <c r="B512" s="716"/>
      <c r="C512" s="717">
        <v>40145</v>
      </c>
      <c r="H512" s="719"/>
      <c r="I512" s="618"/>
      <c r="J512" s="601"/>
    </row>
    <row r="513" spans="1:10" s="718" customFormat="1" outlineLevel="1" x14ac:dyDescent="0.2">
      <c r="A513" s="805"/>
      <c r="B513" s="716"/>
      <c r="C513" s="717">
        <v>40146</v>
      </c>
      <c r="H513" s="719"/>
      <c r="I513" s="618"/>
      <c r="J513" s="601"/>
    </row>
    <row r="514" spans="1:10" s="718" customFormat="1" outlineLevel="1" x14ac:dyDescent="0.2">
      <c r="A514" s="805"/>
      <c r="B514" s="716"/>
      <c r="C514" s="717">
        <v>40147</v>
      </c>
      <c r="H514" s="719"/>
      <c r="I514" s="619">
        <v>-400000</v>
      </c>
      <c r="J514" s="906" t="s">
        <v>494</v>
      </c>
    </row>
    <row r="515" spans="1:10" s="718" customFormat="1" outlineLevel="1" x14ac:dyDescent="0.2">
      <c r="A515" s="805"/>
      <c r="B515" s="716"/>
      <c r="C515" s="717">
        <v>40148</v>
      </c>
      <c r="H515" s="719"/>
      <c r="I515" s="619"/>
    </row>
    <row r="516" spans="1:10" s="718" customFormat="1" outlineLevel="1" x14ac:dyDescent="0.2">
      <c r="A516" s="805"/>
      <c r="B516" s="716"/>
      <c r="C516" s="717">
        <v>40149</v>
      </c>
      <c r="H516" s="719"/>
      <c r="I516" s="619"/>
    </row>
    <row r="517" spans="1:10" s="718" customFormat="1" outlineLevel="1" x14ac:dyDescent="0.2">
      <c r="A517" s="805" t="s">
        <v>493</v>
      </c>
      <c r="B517" s="716"/>
      <c r="C517" s="717">
        <v>40150</v>
      </c>
      <c r="D517" s="718" t="s">
        <v>61</v>
      </c>
      <c r="E517" s="718" t="s">
        <v>495</v>
      </c>
      <c r="F517" s="718" t="s">
        <v>102</v>
      </c>
      <c r="H517" s="719">
        <v>500000</v>
      </c>
      <c r="I517" s="619">
        <v>500000</v>
      </c>
    </row>
    <row r="518" spans="1:10" s="718" customFormat="1" outlineLevel="1" x14ac:dyDescent="0.2">
      <c r="A518" s="805" t="s">
        <v>493</v>
      </c>
      <c r="B518" s="716"/>
      <c r="C518" s="717">
        <v>40151</v>
      </c>
      <c r="H518" s="719"/>
      <c r="I518" s="619"/>
    </row>
    <row r="519" spans="1:10" s="718" customFormat="1" outlineLevel="1" x14ac:dyDescent="0.2">
      <c r="A519" s="805" t="s">
        <v>493</v>
      </c>
      <c r="B519" s="716"/>
      <c r="C519" s="717">
        <v>40152</v>
      </c>
      <c r="H519" s="719"/>
      <c r="I519" s="619"/>
    </row>
    <row r="520" spans="1:10" s="718" customFormat="1" outlineLevel="1" x14ac:dyDescent="0.2">
      <c r="A520" s="805"/>
      <c r="B520" s="716"/>
      <c r="C520" s="717">
        <v>40153</v>
      </c>
      <c r="H520" s="719"/>
      <c r="I520" s="619"/>
    </row>
    <row r="521" spans="1:10" s="718" customFormat="1" outlineLevel="1" x14ac:dyDescent="0.2">
      <c r="A521" s="805" t="s">
        <v>493</v>
      </c>
      <c r="B521" s="716"/>
      <c r="C521" s="717">
        <v>40154</v>
      </c>
      <c r="D521" s="718" t="s">
        <v>1442</v>
      </c>
      <c r="E521" s="718" t="s">
        <v>497</v>
      </c>
      <c r="F521" s="718" t="s">
        <v>485</v>
      </c>
      <c r="H521" s="719">
        <v>19000</v>
      </c>
      <c r="I521" s="619"/>
      <c r="J521" s="753"/>
    </row>
    <row r="522" spans="1:10" s="718" customFormat="1" outlineLevel="1" x14ac:dyDescent="0.2">
      <c r="A522" s="805"/>
      <c r="B522" s="716"/>
      <c r="C522" s="717">
        <v>40154</v>
      </c>
      <c r="D522" s="718" t="s">
        <v>478</v>
      </c>
      <c r="E522" s="718" t="s">
        <v>508</v>
      </c>
      <c r="F522" s="718" t="s">
        <v>485</v>
      </c>
      <c r="G522" s="718" t="s">
        <v>518</v>
      </c>
      <c r="H522" s="719">
        <v>37800</v>
      </c>
      <c r="I522" s="619"/>
      <c r="J522" s="753"/>
    </row>
    <row r="523" spans="1:10" s="718" customFormat="1" outlineLevel="1" x14ac:dyDescent="0.2">
      <c r="A523" s="805"/>
      <c r="B523" s="716"/>
      <c r="C523" s="717">
        <v>40154</v>
      </c>
      <c r="D523" s="718" t="s">
        <v>492</v>
      </c>
      <c r="E523" s="718" t="s">
        <v>509</v>
      </c>
      <c r="F523" s="718" t="s">
        <v>485</v>
      </c>
      <c r="H523" s="719">
        <v>40000</v>
      </c>
      <c r="I523" s="619"/>
      <c r="J523" s="753"/>
    </row>
    <row r="524" spans="1:10" s="718" customFormat="1" outlineLevel="1" x14ac:dyDescent="0.2">
      <c r="A524" s="805"/>
      <c r="B524" s="716"/>
      <c r="C524" s="717">
        <v>40154</v>
      </c>
      <c r="D524" s="718" t="s">
        <v>1856</v>
      </c>
      <c r="E524" s="718" t="s">
        <v>524</v>
      </c>
      <c r="F524" s="718" t="s">
        <v>485</v>
      </c>
      <c r="H524" s="719">
        <v>6000</v>
      </c>
      <c r="I524" s="619"/>
      <c r="J524" s="753"/>
    </row>
    <row r="525" spans="1:10" s="718" customFormat="1" outlineLevel="1" x14ac:dyDescent="0.2">
      <c r="A525" s="805"/>
      <c r="B525" s="716"/>
      <c r="C525" s="717">
        <v>40155</v>
      </c>
      <c r="H525" s="719"/>
      <c r="I525" s="619"/>
    </row>
    <row r="526" spans="1:10" s="718" customFormat="1" outlineLevel="1" x14ac:dyDescent="0.2">
      <c r="A526" s="805"/>
      <c r="B526" s="716"/>
      <c r="C526" s="717">
        <v>40156</v>
      </c>
      <c r="H526" s="719"/>
      <c r="I526" s="619"/>
      <c r="J526" s="753"/>
    </row>
    <row r="527" spans="1:10" s="718" customFormat="1" outlineLevel="1" x14ac:dyDescent="0.2">
      <c r="A527" s="805"/>
      <c r="B527" s="716"/>
      <c r="C527" s="717">
        <v>40157</v>
      </c>
      <c r="H527" s="719"/>
      <c r="I527" s="619"/>
      <c r="J527" s="753"/>
    </row>
    <row r="528" spans="1:10" s="718" customFormat="1" outlineLevel="1" x14ac:dyDescent="0.2">
      <c r="A528" s="805" t="s">
        <v>493</v>
      </c>
      <c r="B528" s="716"/>
      <c r="C528" s="717">
        <v>40158</v>
      </c>
      <c r="H528" s="719"/>
      <c r="I528" s="619"/>
      <c r="J528" s="753"/>
    </row>
    <row r="529" spans="1:10" s="718" customFormat="1" outlineLevel="1" x14ac:dyDescent="0.2">
      <c r="A529" s="805" t="s">
        <v>493</v>
      </c>
      <c r="B529" s="716"/>
      <c r="C529" s="717">
        <v>40159</v>
      </c>
      <c r="D529" s="718" t="s">
        <v>473</v>
      </c>
      <c r="E529" s="718" t="s">
        <v>525</v>
      </c>
      <c r="F529" s="718" t="s">
        <v>102</v>
      </c>
      <c r="G529" s="718" t="s">
        <v>518</v>
      </c>
      <c r="H529" s="719">
        <v>27000</v>
      </c>
      <c r="I529" s="619">
        <v>50000</v>
      </c>
      <c r="J529" s="753"/>
    </row>
    <row r="530" spans="1:10" s="718" customFormat="1" outlineLevel="1" x14ac:dyDescent="0.2">
      <c r="A530" s="805"/>
      <c r="B530" s="716"/>
      <c r="C530" s="717">
        <v>40159</v>
      </c>
      <c r="D530" s="718" t="s">
        <v>1856</v>
      </c>
      <c r="E530" s="718" t="s">
        <v>533</v>
      </c>
      <c r="F530" s="718" t="s">
        <v>102</v>
      </c>
      <c r="H530" s="719">
        <v>12000</v>
      </c>
      <c r="I530" s="619"/>
      <c r="J530" s="753"/>
    </row>
    <row r="531" spans="1:10" outlineLevel="1" x14ac:dyDescent="0.2">
      <c r="A531" s="804" t="s">
        <v>493</v>
      </c>
      <c r="C531" s="712">
        <v>40160</v>
      </c>
      <c r="I531" s="620"/>
      <c r="J531" s="700"/>
    </row>
    <row r="532" spans="1:10" outlineLevel="1" x14ac:dyDescent="0.2">
      <c r="C532" s="712">
        <v>40161</v>
      </c>
      <c r="D532" s="718" t="s">
        <v>1442</v>
      </c>
      <c r="E532" s="718" t="s">
        <v>534</v>
      </c>
      <c r="F532" s="718" t="s">
        <v>485</v>
      </c>
      <c r="G532" s="718"/>
      <c r="H532" s="719">
        <v>15500</v>
      </c>
      <c r="I532" s="620"/>
      <c r="J532" s="700"/>
    </row>
    <row r="533" spans="1:10" outlineLevel="1" x14ac:dyDescent="0.2">
      <c r="A533" s="804" t="s">
        <v>493</v>
      </c>
      <c r="C533" s="712">
        <v>40162</v>
      </c>
      <c r="D533" s="718" t="s">
        <v>478</v>
      </c>
      <c r="E533" s="718" t="s">
        <v>1743</v>
      </c>
      <c r="F533" s="718" t="s">
        <v>485</v>
      </c>
      <c r="G533" s="718" t="s">
        <v>518</v>
      </c>
      <c r="H533" s="719">
        <v>17690</v>
      </c>
      <c r="I533" s="620">
        <v>400000</v>
      </c>
      <c r="J533" s="713"/>
    </row>
    <row r="534" spans="1:10" ht="25.5" outlineLevel="1" x14ac:dyDescent="0.2">
      <c r="A534" s="804" t="s">
        <v>1574</v>
      </c>
      <c r="B534" s="715" t="s">
        <v>529</v>
      </c>
      <c r="C534" s="712">
        <v>40162</v>
      </c>
      <c r="D534" s="718" t="s">
        <v>103</v>
      </c>
      <c r="E534" s="718" t="s">
        <v>526</v>
      </c>
      <c r="F534" s="718" t="s">
        <v>102</v>
      </c>
      <c r="G534" s="718" t="s">
        <v>518</v>
      </c>
      <c r="H534" s="701">
        <v>6060</v>
      </c>
      <c r="I534" s="620"/>
      <c r="J534" s="713"/>
    </row>
    <row r="535" spans="1:10" outlineLevel="1" x14ac:dyDescent="0.2">
      <c r="C535" s="712">
        <v>40162</v>
      </c>
      <c r="D535" s="713" t="s">
        <v>1</v>
      </c>
      <c r="E535" s="718" t="s">
        <v>527</v>
      </c>
      <c r="F535" s="718" t="s">
        <v>102</v>
      </c>
      <c r="G535" s="718" t="s">
        <v>518</v>
      </c>
      <c r="H535" s="719">
        <v>8310</v>
      </c>
      <c r="I535" s="620"/>
      <c r="J535" s="713"/>
    </row>
    <row r="536" spans="1:10" outlineLevel="1" x14ac:dyDescent="0.2">
      <c r="C536" s="712">
        <v>40162</v>
      </c>
      <c r="D536" s="718" t="s">
        <v>464</v>
      </c>
      <c r="E536" s="718" t="s">
        <v>528</v>
      </c>
      <c r="F536" s="718" t="s">
        <v>102</v>
      </c>
      <c r="G536" s="718" t="s">
        <v>518</v>
      </c>
      <c r="H536" s="719">
        <v>21702</v>
      </c>
      <c r="I536" s="620"/>
      <c r="J536" s="713"/>
    </row>
    <row r="537" spans="1:10" outlineLevel="1" x14ac:dyDescent="0.2">
      <c r="C537" s="712">
        <v>40163</v>
      </c>
      <c r="D537" s="718" t="s">
        <v>478</v>
      </c>
      <c r="E537" s="718" t="s">
        <v>530</v>
      </c>
      <c r="F537" s="718" t="s">
        <v>485</v>
      </c>
      <c r="G537" s="718" t="s">
        <v>518</v>
      </c>
      <c r="H537" s="719">
        <v>8750</v>
      </c>
      <c r="I537" s="620"/>
      <c r="J537" s="713"/>
    </row>
    <row r="538" spans="1:10" outlineLevel="1" x14ac:dyDescent="0.2">
      <c r="C538" s="712">
        <v>40163</v>
      </c>
      <c r="D538" s="718" t="s">
        <v>478</v>
      </c>
      <c r="E538" s="718" t="s">
        <v>531</v>
      </c>
      <c r="F538" s="718" t="s">
        <v>485</v>
      </c>
      <c r="G538" s="718" t="s">
        <v>518</v>
      </c>
      <c r="H538" s="719">
        <v>3500</v>
      </c>
      <c r="I538" s="620"/>
      <c r="J538" s="700"/>
    </row>
    <row r="539" spans="1:10" outlineLevel="1" x14ac:dyDescent="0.2">
      <c r="C539" s="712">
        <v>40163</v>
      </c>
      <c r="D539" s="713" t="s">
        <v>492</v>
      </c>
      <c r="E539" s="718" t="s">
        <v>509</v>
      </c>
      <c r="F539" s="718" t="s">
        <v>485</v>
      </c>
      <c r="G539" s="718"/>
      <c r="H539" s="719">
        <v>40000</v>
      </c>
      <c r="I539" s="620"/>
      <c r="J539" s="700"/>
    </row>
    <row r="540" spans="1:10" outlineLevel="1" x14ac:dyDescent="0.2">
      <c r="A540" s="804" t="s">
        <v>1574</v>
      </c>
      <c r="B540" s="715" t="s">
        <v>536</v>
      </c>
      <c r="C540" s="712">
        <v>40164</v>
      </c>
      <c r="D540" s="713" t="s">
        <v>492</v>
      </c>
      <c r="E540" s="718" t="s">
        <v>509</v>
      </c>
      <c r="F540" s="718" t="s">
        <v>485</v>
      </c>
      <c r="G540" s="718"/>
      <c r="H540" s="719">
        <v>110000</v>
      </c>
      <c r="I540" s="620"/>
      <c r="J540" s="700"/>
    </row>
    <row r="541" spans="1:10" outlineLevel="1" x14ac:dyDescent="0.2">
      <c r="C541" s="712">
        <v>40164</v>
      </c>
      <c r="D541" s="718" t="s">
        <v>464</v>
      </c>
      <c r="E541" s="339" t="s">
        <v>535</v>
      </c>
      <c r="F541" s="718" t="s">
        <v>102</v>
      </c>
      <c r="G541" s="718" t="s">
        <v>518</v>
      </c>
      <c r="H541" s="719">
        <v>28550</v>
      </c>
      <c r="I541" s="620"/>
      <c r="J541" s="713"/>
    </row>
    <row r="542" spans="1:10" outlineLevel="1" x14ac:dyDescent="0.2">
      <c r="A542" s="804" t="s">
        <v>1574</v>
      </c>
      <c r="B542" s="715" t="s">
        <v>536</v>
      </c>
      <c r="C542" s="712">
        <v>40165</v>
      </c>
      <c r="I542" s="620"/>
      <c r="J542" s="700"/>
    </row>
    <row r="543" spans="1:10" outlineLevel="1" x14ac:dyDescent="0.2">
      <c r="A543" s="804" t="s">
        <v>1574</v>
      </c>
      <c r="B543" s="715" t="s">
        <v>536</v>
      </c>
      <c r="C543" s="712">
        <v>40166</v>
      </c>
      <c r="I543" s="620"/>
      <c r="J543" s="700"/>
    </row>
    <row r="544" spans="1:10" outlineLevel="1" x14ac:dyDescent="0.2">
      <c r="C544" s="712">
        <v>40167</v>
      </c>
      <c r="I544" s="620"/>
      <c r="J544" s="700"/>
    </row>
    <row r="545" spans="1:10" outlineLevel="1" x14ac:dyDescent="0.2">
      <c r="C545" s="712">
        <v>40168</v>
      </c>
      <c r="D545" s="713" t="s">
        <v>61</v>
      </c>
      <c r="E545" s="713" t="s">
        <v>495</v>
      </c>
      <c r="F545" s="713" t="s">
        <v>102</v>
      </c>
      <c r="H545" s="701">
        <v>100000</v>
      </c>
      <c r="I545" s="620"/>
      <c r="J545" s="700"/>
    </row>
    <row r="546" spans="1:10" outlineLevel="1" x14ac:dyDescent="0.2">
      <c r="C546" s="712">
        <v>40169</v>
      </c>
      <c r="I546" s="620"/>
      <c r="J546" s="713"/>
    </row>
    <row r="547" spans="1:10" outlineLevel="1" x14ac:dyDescent="0.2">
      <c r="C547" s="712">
        <v>40170</v>
      </c>
      <c r="I547" s="620"/>
      <c r="J547" s="713"/>
    </row>
    <row r="548" spans="1:10" outlineLevel="1" x14ac:dyDescent="0.2">
      <c r="C548" s="712">
        <v>40171</v>
      </c>
      <c r="I548" s="620"/>
      <c r="J548" s="700"/>
    </row>
    <row r="549" spans="1:10" outlineLevel="1" x14ac:dyDescent="0.2">
      <c r="C549" s="712">
        <v>40172</v>
      </c>
      <c r="I549" s="620"/>
      <c r="J549" s="713"/>
    </row>
    <row r="550" spans="1:10" outlineLevel="1" x14ac:dyDescent="0.2">
      <c r="C550" s="712">
        <v>40173</v>
      </c>
      <c r="I550" s="620"/>
      <c r="J550" s="700"/>
    </row>
    <row r="551" spans="1:10" outlineLevel="1" x14ac:dyDescent="0.2">
      <c r="C551" s="712">
        <v>40174</v>
      </c>
      <c r="I551" s="620"/>
      <c r="J551" s="700"/>
    </row>
    <row r="552" spans="1:10" ht="25.5" outlineLevel="1" x14ac:dyDescent="0.2">
      <c r="A552" s="804" t="s">
        <v>1574</v>
      </c>
      <c r="B552" s="715" t="s">
        <v>596</v>
      </c>
      <c r="C552" s="712">
        <v>40175</v>
      </c>
      <c r="I552" s="620"/>
      <c r="J552" s="700"/>
    </row>
    <row r="553" spans="1:10" outlineLevel="1" x14ac:dyDescent="0.2">
      <c r="C553" s="712">
        <v>40176</v>
      </c>
      <c r="I553" s="620"/>
      <c r="J553" s="713"/>
    </row>
    <row r="554" spans="1:10" outlineLevel="1" x14ac:dyDescent="0.2">
      <c r="C554" s="712">
        <v>40177</v>
      </c>
      <c r="I554" s="620"/>
      <c r="J554" s="700"/>
    </row>
    <row r="555" spans="1:10" outlineLevel="1" x14ac:dyDescent="0.2">
      <c r="C555" s="712">
        <v>40178</v>
      </c>
      <c r="I555" s="620"/>
      <c r="J555" s="700"/>
    </row>
    <row r="556" spans="1:10" ht="13.5" outlineLevel="1" thickBot="1" x14ac:dyDescent="0.25">
      <c r="C556" s="712"/>
      <c r="I556" s="620"/>
      <c r="J556" s="713"/>
    </row>
    <row r="557" spans="1:10" s="730" customFormat="1" ht="13.5" thickBot="1" x14ac:dyDescent="0.25">
      <c r="A557" s="808"/>
      <c r="B557" s="728"/>
      <c r="C557" s="729" t="s">
        <v>1484</v>
      </c>
      <c r="H557" s="731">
        <f>SUM(H66:H555)</f>
        <v>10594675</v>
      </c>
      <c r="I557" s="881"/>
    </row>
    <row r="558" spans="1:10" s="876" customFormat="1" x14ac:dyDescent="0.2">
      <c r="A558" s="873"/>
      <c r="B558" s="874"/>
      <c r="C558" s="875"/>
      <c r="H558" s="877"/>
      <c r="I558" s="880"/>
    </row>
    <row r="559" spans="1:10" outlineLevel="1" x14ac:dyDescent="0.2">
      <c r="C559" s="712">
        <v>40179</v>
      </c>
      <c r="I559" s="620"/>
      <c r="J559" s="713"/>
    </row>
    <row r="560" spans="1:10" outlineLevel="1" x14ac:dyDescent="0.2">
      <c r="C560" s="712">
        <v>40180</v>
      </c>
      <c r="I560" s="620"/>
      <c r="J560" s="713"/>
    </row>
    <row r="561" spans="3:10" outlineLevel="1" x14ac:dyDescent="0.2">
      <c r="C561" s="712">
        <v>40181</v>
      </c>
      <c r="I561" s="620"/>
      <c r="J561" s="700"/>
    </row>
    <row r="562" spans="3:10" outlineLevel="1" x14ac:dyDescent="0.2">
      <c r="C562" s="712">
        <v>40182</v>
      </c>
      <c r="D562" s="713" t="s">
        <v>61</v>
      </c>
      <c r="E562" s="713" t="s">
        <v>505</v>
      </c>
      <c r="F562" s="713" t="s">
        <v>102</v>
      </c>
      <c r="H562" s="701">
        <v>405000</v>
      </c>
      <c r="I562" s="620"/>
      <c r="J562" s="713"/>
    </row>
    <row r="563" spans="3:10" outlineLevel="1" x14ac:dyDescent="0.2">
      <c r="C563" s="712">
        <v>40182</v>
      </c>
      <c r="D563" s="718" t="s">
        <v>103</v>
      </c>
      <c r="E563" s="718" t="s">
        <v>526</v>
      </c>
      <c r="F563" s="718" t="s">
        <v>102</v>
      </c>
      <c r="G563" s="718" t="s">
        <v>518</v>
      </c>
      <c r="H563" s="701">
        <v>20660</v>
      </c>
      <c r="I563" s="620"/>
      <c r="J563" s="713"/>
    </row>
    <row r="564" spans="3:10" outlineLevel="1" x14ac:dyDescent="0.2">
      <c r="C564" s="712">
        <v>40183</v>
      </c>
      <c r="I564" s="620"/>
      <c r="J564" s="700"/>
    </row>
    <row r="565" spans="3:10" outlineLevel="1" x14ac:dyDescent="0.2">
      <c r="C565" s="712">
        <v>40184</v>
      </c>
      <c r="I565" s="620"/>
      <c r="J565" s="713"/>
    </row>
    <row r="566" spans="3:10" outlineLevel="1" x14ac:dyDescent="0.2">
      <c r="C566" s="712">
        <v>40185</v>
      </c>
      <c r="I566" s="620"/>
      <c r="J566" s="713"/>
    </row>
    <row r="567" spans="3:10" outlineLevel="1" x14ac:dyDescent="0.2">
      <c r="C567" s="712">
        <v>40186</v>
      </c>
      <c r="I567" s="620"/>
      <c r="J567" s="713"/>
    </row>
    <row r="568" spans="3:10" outlineLevel="1" x14ac:dyDescent="0.2">
      <c r="C568" s="712">
        <v>40187</v>
      </c>
      <c r="I568" s="620"/>
      <c r="J568" s="700"/>
    </row>
    <row r="569" spans="3:10" outlineLevel="1" x14ac:dyDescent="0.2">
      <c r="C569" s="712">
        <v>40188</v>
      </c>
      <c r="I569" s="620"/>
      <c r="J569" s="713"/>
    </row>
    <row r="570" spans="3:10" outlineLevel="1" x14ac:dyDescent="0.2">
      <c r="C570" s="712">
        <v>40189</v>
      </c>
      <c r="I570" s="620"/>
      <c r="J570" s="700"/>
    </row>
    <row r="571" spans="3:10" outlineLevel="1" x14ac:dyDescent="0.2">
      <c r="C571" s="712">
        <v>40190</v>
      </c>
      <c r="I571" s="620"/>
      <c r="J571" s="713"/>
    </row>
    <row r="572" spans="3:10" outlineLevel="1" x14ac:dyDescent="0.2">
      <c r="C572" s="712">
        <v>40191</v>
      </c>
      <c r="I572" s="620"/>
      <c r="J572" s="700"/>
    </row>
    <row r="573" spans="3:10" outlineLevel="1" x14ac:dyDescent="0.2">
      <c r="C573" s="712">
        <v>40192</v>
      </c>
      <c r="I573" s="620"/>
      <c r="J573" s="700"/>
    </row>
    <row r="574" spans="3:10" outlineLevel="1" x14ac:dyDescent="0.2">
      <c r="C574" s="712">
        <v>40193</v>
      </c>
      <c r="I574" s="620"/>
      <c r="J574" s="700"/>
    </row>
    <row r="575" spans="3:10" outlineLevel="1" x14ac:dyDescent="0.2">
      <c r="C575" s="712">
        <v>40194</v>
      </c>
      <c r="I575" s="620"/>
      <c r="J575" s="700"/>
    </row>
    <row r="576" spans="3:10" outlineLevel="1" x14ac:dyDescent="0.2">
      <c r="C576" s="712">
        <v>40195</v>
      </c>
      <c r="I576" s="620"/>
      <c r="J576" s="713"/>
    </row>
    <row r="577" spans="3:10" outlineLevel="1" x14ac:dyDescent="0.2">
      <c r="C577" s="712">
        <v>40196</v>
      </c>
      <c r="D577" s="713" t="s">
        <v>61</v>
      </c>
      <c r="E577" s="713" t="s">
        <v>505</v>
      </c>
      <c r="F577" s="713" t="s">
        <v>102</v>
      </c>
      <c r="H577" s="701">
        <v>100000</v>
      </c>
      <c r="I577" s="620"/>
      <c r="J577" s="713"/>
    </row>
    <row r="578" spans="3:10" outlineLevel="1" x14ac:dyDescent="0.2">
      <c r="C578" s="712">
        <v>40197</v>
      </c>
      <c r="I578" s="620"/>
      <c r="J578" s="713"/>
    </row>
    <row r="579" spans="3:10" outlineLevel="1" x14ac:dyDescent="0.2">
      <c r="C579" s="712">
        <v>40198</v>
      </c>
      <c r="I579" s="620"/>
      <c r="J579" s="713"/>
    </row>
    <row r="580" spans="3:10" outlineLevel="1" x14ac:dyDescent="0.2">
      <c r="C580" s="712">
        <v>40199</v>
      </c>
      <c r="I580" s="620"/>
      <c r="J580" s="713"/>
    </row>
    <row r="581" spans="3:10" outlineLevel="1" x14ac:dyDescent="0.2">
      <c r="C581" s="712">
        <v>40200</v>
      </c>
      <c r="I581" s="620"/>
      <c r="J581" s="700"/>
    </row>
    <row r="582" spans="3:10" outlineLevel="1" x14ac:dyDescent="0.2">
      <c r="C582" s="712">
        <v>40201</v>
      </c>
      <c r="I582" s="620"/>
      <c r="J582" s="700"/>
    </row>
    <row r="583" spans="3:10" outlineLevel="1" x14ac:dyDescent="0.2">
      <c r="C583" s="712">
        <v>40202</v>
      </c>
      <c r="I583" s="620"/>
      <c r="J583" s="700"/>
    </row>
    <row r="584" spans="3:10" outlineLevel="1" x14ac:dyDescent="0.2">
      <c r="C584" s="712">
        <v>40203</v>
      </c>
      <c r="I584" s="620"/>
      <c r="J584" s="700"/>
    </row>
    <row r="585" spans="3:10" outlineLevel="1" x14ac:dyDescent="0.2">
      <c r="C585" s="712">
        <v>40204</v>
      </c>
      <c r="I585" s="620"/>
      <c r="J585" s="713"/>
    </row>
    <row r="586" spans="3:10" outlineLevel="1" x14ac:dyDescent="0.2">
      <c r="C586" s="712">
        <v>40205</v>
      </c>
      <c r="I586" s="620"/>
      <c r="J586" s="713"/>
    </row>
    <row r="587" spans="3:10" outlineLevel="1" x14ac:dyDescent="0.2">
      <c r="C587" s="712">
        <v>40206</v>
      </c>
      <c r="I587" s="620"/>
      <c r="J587" s="713"/>
    </row>
    <row r="588" spans="3:10" outlineLevel="1" x14ac:dyDescent="0.2">
      <c r="C588" s="712">
        <v>40207</v>
      </c>
      <c r="I588" s="620"/>
      <c r="J588" s="713"/>
    </row>
    <row r="589" spans="3:10" outlineLevel="1" x14ac:dyDescent="0.2">
      <c r="C589" s="712">
        <v>40208</v>
      </c>
      <c r="I589" s="620"/>
      <c r="J589" s="700"/>
    </row>
    <row r="590" spans="3:10" outlineLevel="1" x14ac:dyDescent="0.2">
      <c r="C590" s="712">
        <v>40209</v>
      </c>
      <c r="I590" s="620"/>
      <c r="J590" s="700"/>
    </row>
    <row r="591" spans="3:10" outlineLevel="1" x14ac:dyDescent="0.2">
      <c r="C591" s="712">
        <v>40210</v>
      </c>
      <c r="I591" s="620"/>
      <c r="J591" s="713"/>
    </row>
    <row r="592" spans="3:10" outlineLevel="1" x14ac:dyDescent="0.2">
      <c r="C592" s="712">
        <v>40211</v>
      </c>
      <c r="I592" s="620"/>
      <c r="J592" s="713"/>
    </row>
    <row r="593" spans="3:10" outlineLevel="1" x14ac:dyDescent="0.2">
      <c r="C593" s="712">
        <v>40212</v>
      </c>
      <c r="I593" s="620"/>
      <c r="J593" s="700"/>
    </row>
    <row r="594" spans="3:10" outlineLevel="1" x14ac:dyDescent="0.2">
      <c r="C594" s="712">
        <v>40213</v>
      </c>
      <c r="I594" s="620"/>
      <c r="J594" s="713"/>
    </row>
    <row r="595" spans="3:10" outlineLevel="1" x14ac:dyDescent="0.2">
      <c r="C595" s="712">
        <v>40214</v>
      </c>
      <c r="I595" s="620"/>
      <c r="J595" s="700"/>
    </row>
    <row r="596" spans="3:10" outlineLevel="1" x14ac:dyDescent="0.2">
      <c r="C596" s="712">
        <v>40215</v>
      </c>
      <c r="I596" s="620"/>
      <c r="J596" s="700"/>
    </row>
    <row r="597" spans="3:10" outlineLevel="1" x14ac:dyDescent="0.2">
      <c r="C597" s="712">
        <v>40216</v>
      </c>
      <c r="I597" s="620"/>
      <c r="J597" s="713"/>
    </row>
    <row r="598" spans="3:10" outlineLevel="1" x14ac:dyDescent="0.2">
      <c r="C598" s="712">
        <v>40217</v>
      </c>
      <c r="I598" s="620"/>
      <c r="J598" s="700"/>
    </row>
    <row r="599" spans="3:10" outlineLevel="1" x14ac:dyDescent="0.2">
      <c r="C599" s="712">
        <v>40218</v>
      </c>
      <c r="I599" s="620"/>
      <c r="J599" s="713"/>
    </row>
    <row r="600" spans="3:10" outlineLevel="1" x14ac:dyDescent="0.2">
      <c r="C600" s="712">
        <v>40219</v>
      </c>
      <c r="I600" s="620"/>
      <c r="J600" s="700"/>
    </row>
    <row r="601" spans="3:10" outlineLevel="1" x14ac:dyDescent="0.2">
      <c r="C601" s="712">
        <v>40220</v>
      </c>
      <c r="I601" s="620"/>
      <c r="J601" s="700"/>
    </row>
    <row r="602" spans="3:10" outlineLevel="1" x14ac:dyDescent="0.2">
      <c r="C602" s="712">
        <v>40221</v>
      </c>
      <c r="I602" s="620"/>
      <c r="J602" s="700"/>
    </row>
    <row r="603" spans="3:10" outlineLevel="1" x14ac:dyDescent="0.2">
      <c r="C603" s="712">
        <v>40222</v>
      </c>
      <c r="I603" s="620"/>
      <c r="J603" s="700"/>
    </row>
    <row r="604" spans="3:10" outlineLevel="1" x14ac:dyDescent="0.2">
      <c r="C604" s="712">
        <v>40223</v>
      </c>
      <c r="I604" s="620"/>
      <c r="J604" s="713"/>
    </row>
    <row r="605" spans="3:10" outlineLevel="1" x14ac:dyDescent="0.2">
      <c r="C605" s="712">
        <v>40224</v>
      </c>
      <c r="I605" s="620"/>
      <c r="J605" s="700"/>
    </row>
    <row r="606" spans="3:10" outlineLevel="1" x14ac:dyDescent="0.2">
      <c r="C606" s="712">
        <v>40225</v>
      </c>
      <c r="I606" s="620"/>
      <c r="J606" s="700"/>
    </row>
    <row r="607" spans="3:10" outlineLevel="1" x14ac:dyDescent="0.2">
      <c r="C607" s="712">
        <v>40226</v>
      </c>
      <c r="I607" s="620"/>
      <c r="J607" s="713"/>
    </row>
    <row r="608" spans="3:10" outlineLevel="1" x14ac:dyDescent="0.2">
      <c r="C608" s="712">
        <v>40227</v>
      </c>
      <c r="I608" s="620"/>
      <c r="J608" s="700"/>
    </row>
    <row r="609" spans="3:10" outlineLevel="1" x14ac:dyDescent="0.2">
      <c r="C609" s="712">
        <v>40228</v>
      </c>
      <c r="I609" s="620"/>
      <c r="J609" s="700"/>
    </row>
    <row r="610" spans="3:10" outlineLevel="1" x14ac:dyDescent="0.2">
      <c r="C610" s="712">
        <v>40229</v>
      </c>
      <c r="I610" s="620"/>
      <c r="J610" s="700"/>
    </row>
    <row r="611" spans="3:10" outlineLevel="1" x14ac:dyDescent="0.2">
      <c r="C611" s="712">
        <v>40230</v>
      </c>
      <c r="I611" s="620"/>
      <c r="J611" s="713"/>
    </row>
    <row r="612" spans="3:10" outlineLevel="1" x14ac:dyDescent="0.2">
      <c r="C612" s="712">
        <v>40231</v>
      </c>
      <c r="I612" s="620"/>
      <c r="J612" s="700"/>
    </row>
    <row r="613" spans="3:10" outlineLevel="1" x14ac:dyDescent="0.2">
      <c r="C613" s="712">
        <v>40232</v>
      </c>
      <c r="I613" s="620"/>
      <c r="J613" s="713"/>
    </row>
    <row r="614" spans="3:10" outlineLevel="1" x14ac:dyDescent="0.2">
      <c r="C614" s="712">
        <v>40233</v>
      </c>
      <c r="I614" s="620"/>
      <c r="J614" s="713"/>
    </row>
    <row r="615" spans="3:10" outlineLevel="1" x14ac:dyDescent="0.2">
      <c r="C615" s="712">
        <v>40234</v>
      </c>
      <c r="D615" s="713" t="s">
        <v>1361</v>
      </c>
      <c r="E615" s="713" t="s">
        <v>1362</v>
      </c>
      <c r="F615" s="713" t="s">
        <v>1363</v>
      </c>
      <c r="G615" s="713" t="s">
        <v>518</v>
      </c>
      <c r="H615" s="701">
        <v>502838</v>
      </c>
      <c r="I615" s="620">
        <v>900000</v>
      </c>
      <c r="J615" s="713" t="s">
        <v>593</v>
      </c>
    </row>
    <row r="616" spans="3:10" outlineLevel="1" x14ac:dyDescent="0.2">
      <c r="C616" s="712">
        <v>40235</v>
      </c>
      <c r="I616" s="620"/>
      <c r="J616" s="700"/>
    </row>
    <row r="617" spans="3:10" outlineLevel="1" x14ac:dyDescent="0.2">
      <c r="C617" s="712">
        <v>40236</v>
      </c>
      <c r="I617" s="620"/>
      <c r="J617" s="700"/>
    </row>
    <row r="618" spans="3:10" outlineLevel="1" x14ac:dyDescent="0.2">
      <c r="C618" s="712">
        <v>40237</v>
      </c>
      <c r="D618" s="713" t="s">
        <v>1656</v>
      </c>
      <c r="E618" s="713" t="s">
        <v>1058</v>
      </c>
      <c r="F618" s="713" t="s">
        <v>1653</v>
      </c>
      <c r="G618" s="713" t="s">
        <v>518</v>
      </c>
      <c r="H618" s="701">
        <v>19970</v>
      </c>
      <c r="I618" s="620"/>
      <c r="J618" s="700"/>
    </row>
    <row r="619" spans="3:10" outlineLevel="1" x14ac:dyDescent="0.2">
      <c r="C619" s="712">
        <v>40237</v>
      </c>
      <c r="D619" s="713" t="s">
        <v>1656</v>
      </c>
      <c r="E619" s="713" t="s">
        <v>1059</v>
      </c>
      <c r="F619" s="713" t="s">
        <v>1653</v>
      </c>
      <c r="G619" s="713" t="s">
        <v>518</v>
      </c>
      <c r="H619" s="701">
        <v>20990</v>
      </c>
      <c r="I619" s="620"/>
      <c r="J619" s="713"/>
    </row>
    <row r="620" spans="3:10" outlineLevel="1" x14ac:dyDescent="0.2">
      <c r="C620" s="712">
        <v>40237</v>
      </c>
      <c r="D620" s="713" t="s">
        <v>1656</v>
      </c>
      <c r="E620" s="713" t="s">
        <v>1060</v>
      </c>
      <c r="F620" s="713" t="s">
        <v>1653</v>
      </c>
      <c r="G620" s="713" t="s">
        <v>518</v>
      </c>
      <c r="H620" s="701">
        <v>7470</v>
      </c>
      <c r="I620" s="620"/>
      <c r="J620" s="713"/>
    </row>
    <row r="621" spans="3:10" outlineLevel="1" x14ac:dyDescent="0.2">
      <c r="C621" s="712">
        <v>40238</v>
      </c>
      <c r="I621" s="620"/>
      <c r="J621" s="700"/>
    </row>
    <row r="622" spans="3:10" outlineLevel="1" x14ac:dyDescent="0.2">
      <c r="C622" s="712">
        <v>40239</v>
      </c>
      <c r="D622" s="713" t="s">
        <v>843</v>
      </c>
      <c r="E622" s="713" t="s">
        <v>844</v>
      </c>
      <c r="F622" s="713" t="s">
        <v>1363</v>
      </c>
      <c r="G622" s="713" t="s">
        <v>518</v>
      </c>
      <c r="H622" s="701">
        <v>450000</v>
      </c>
      <c r="I622" s="620"/>
      <c r="J622" s="713"/>
    </row>
    <row r="623" spans="3:10" outlineLevel="1" x14ac:dyDescent="0.2">
      <c r="C623" s="712">
        <v>40240</v>
      </c>
      <c r="I623" s="620"/>
      <c r="J623" s="713"/>
    </row>
    <row r="624" spans="3:10" outlineLevel="1" x14ac:dyDescent="0.2">
      <c r="C624" s="712">
        <v>40241</v>
      </c>
      <c r="D624" s="713" t="s">
        <v>1656</v>
      </c>
      <c r="E624" s="713" t="s">
        <v>842</v>
      </c>
      <c r="F624" s="713" t="s">
        <v>1653</v>
      </c>
      <c r="G624" s="713" t="s">
        <v>518</v>
      </c>
      <c r="H624" s="701">
        <v>4010</v>
      </c>
      <c r="I624" s="620"/>
      <c r="J624" s="700"/>
    </row>
    <row r="625" spans="3:10" outlineLevel="1" x14ac:dyDescent="0.2">
      <c r="C625" s="712">
        <v>40242</v>
      </c>
      <c r="D625" s="713" t="s">
        <v>2479</v>
      </c>
      <c r="E625" s="713" t="s">
        <v>2478</v>
      </c>
      <c r="F625" s="713" t="s">
        <v>1363</v>
      </c>
      <c r="H625" s="701">
        <v>10000</v>
      </c>
      <c r="I625" s="620"/>
      <c r="J625" s="713"/>
    </row>
    <row r="626" spans="3:10" outlineLevel="1" x14ac:dyDescent="0.2">
      <c r="C626" s="712">
        <v>40242</v>
      </c>
      <c r="D626" s="718" t="s">
        <v>1858</v>
      </c>
      <c r="E626" s="339" t="s">
        <v>2480</v>
      </c>
      <c r="F626" s="339" t="s">
        <v>1363</v>
      </c>
      <c r="G626" s="718"/>
      <c r="H626" s="719">
        <v>20000</v>
      </c>
      <c r="I626" s="620"/>
      <c r="J626" s="713"/>
    </row>
    <row r="627" spans="3:10" outlineLevel="1" x14ac:dyDescent="0.2">
      <c r="C627" s="712">
        <v>40242</v>
      </c>
      <c r="D627" s="718" t="s">
        <v>1858</v>
      </c>
      <c r="E627" s="339" t="s">
        <v>2481</v>
      </c>
      <c r="F627" s="339" t="s">
        <v>102</v>
      </c>
      <c r="G627" s="718"/>
      <c r="H627" s="719">
        <v>-25000</v>
      </c>
      <c r="I627" s="620"/>
      <c r="J627" s="700"/>
    </row>
    <row r="628" spans="3:10" outlineLevel="1" x14ac:dyDescent="0.2">
      <c r="C628" s="712">
        <v>40243</v>
      </c>
      <c r="D628" s="713" t="s">
        <v>367</v>
      </c>
      <c r="E628" s="713" t="s">
        <v>108</v>
      </c>
      <c r="F628" s="713" t="s">
        <v>1653</v>
      </c>
      <c r="G628" s="713" t="s">
        <v>518</v>
      </c>
      <c r="H628" s="701">
        <v>3500</v>
      </c>
      <c r="I628" s="620"/>
      <c r="J628" s="713"/>
    </row>
    <row r="629" spans="3:10" outlineLevel="1" x14ac:dyDescent="0.2">
      <c r="C629" s="712">
        <v>40244</v>
      </c>
      <c r="D629" s="713" t="s">
        <v>367</v>
      </c>
      <c r="E629" s="713" t="s">
        <v>369</v>
      </c>
      <c r="F629" s="713" t="s">
        <v>1653</v>
      </c>
      <c r="G629" s="713" t="s">
        <v>518</v>
      </c>
      <c r="H629" s="701">
        <v>5100</v>
      </c>
      <c r="I629" s="620"/>
      <c r="J629" s="713"/>
    </row>
    <row r="630" spans="3:10" outlineLevel="1" x14ac:dyDescent="0.2">
      <c r="C630" s="712">
        <v>40245</v>
      </c>
      <c r="I630" s="620"/>
      <c r="J630" s="700"/>
    </row>
    <row r="631" spans="3:10" outlineLevel="1" x14ac:dyDescent="0.2">
      <c r="C631" s="712">
        <v>40246</v>
      </c>
      <c r="D631" s="713" t="s">
        <v>843</v>
      </c>
      <c r="E631" s="713" t="s">
        <v>844</v>
      </c>
      <c r="F631" s="713" t="s">
        <v>1363</v>
      </c>
      <c r="H631" s="701">
        <v>657000</v>
      </c>
      <c r="I631" s="620">
        <v>1000000</v>
      </c>
      <c r="J631" s="700" t="s">
        <v>592</v>
      </c>
    </row>
    <row r="632" spans="3:10" outlineLevel="1" x14ac:dyDescent="0.2">
      <c r="C632" s="712">
        <v>40246</v>
      </c>
      <c r="I632" s="620">
        <v>200000</v>
      </c>
      <c r="J632" s="700" t="s">
        <v>591</v>
      </c>
    </row>
    <row r="633" spans="3:10" outlineLevel="1" x14ac:dyDescent="0.2">
      <c r="C633" s="712">
        <v>40247</v>
      </c>
      <c r="I633" s="620"/>
      <c r="J633" s="700"/>
    </row>
    <row r="634" spans="3:10" outlineLevel="1" x14ac:dyDescent="0.2">
      <c r="C634" s="712">
        <v>40248</v>
      </c>
      <c r="I634" s="620"/>
      <c r="J634" s="713"/>
    </row>
    <row r="635" spans="3:10" outlineLevel="1" x14ac:dyDescent="0.2">
      <c r="C635" s="712">
        <v>40249</v>
      </c>
      <c r="I635" s="620"/>
      <c r="J635" s="713"/>
    </row>
    <row r="636" spans="3:10" outlineLevel="1" x14ac:dyDescent="0.2">
      <c r="C636" s="712">
        <v>40250</v>
      </c>
      <c r="D636" s="713" t="s">
        <v>1656</v>
      </c>
      <c r="E636" s="713" t="s">
        <v>366</v>
      </c>
      <c r="F636" s="713" t="s">
        <v>1653</v>
      </c>
      <c r="G636" s="713" t="s">
        <v>518</v>
      </c>
      <c r="H636" s="701">
        <v>3540</v>
      </c>
      <c r="I636" s="620"/>
      <c r="J636" s="700"/>
    </row>
    <row r="637" spans="3:10" outlineLevel="1" x14ac:dyDescent="0.2">
      <c r="C637" s="712">
        <v>40250</v>
      </c>
      <c r="D637" s="713" t="s">
        <v>367</v>
      </c>
      <c r="E637" s="713" t="s">
        <v>368</v>
      </c>
      <c r="F637" s="713" t="s">
        <v>1653</v>
      </c>
      <c r="G637" s="713" t="s">
        <v>518</v>
      </c>
      <c r="H637" s="701">
        <v>1990</v>
      </c>
      <c r="I637" s="620"/>
      <c r="J637" s="713"/>
    </row>
    <row r="638" spans="3:10" outlineLevel="1" x14ac:dyDescent="0.2">
      <c r="C638" s="712">
        <v>40251</v>
      </c>
      <c r="I638" s="620"/>
      <c r="J638" s="713"/>
    </row>
    <row r="639" spans="3:10" outlineLevel="1" x14ac:dyDescent="0.2">
      <c r="C639" s="712">
        <v>40252</v>
      </c>
      <c r="D639" s="713" t="s">
        <v>1762</v>
      </c>
      <c r="E639" s="713" t="s">
        <v>824</v>
      </c>
      <c r="F639" s="713" t="s">
        <v>1653</v>
      </c>
      <c r="G639" s="713" t="s">
        <v>518</v>
      </c>
      <c r="H639" s="701">
        <v>68000</v>
      </c>
      <c r="I639" s="620"/>
      <c r="J639" s="713"/>
    </row>
    <row r="640" spans="3:10" outlineLevel="1" x14ac:dyDescent="0.2">
      <c r="C640" s="712">
        <v>40253</v>
      </c>
      <c r="I640" s="620"/>
      <c r="J640" s="713"/>
    </row>
    <row r="641" spans="1:10" outlineLevel="1" x14ac:dyDescent="0.2">
      <c r="A641" s="804" t="s">
        <v>835</v>
      </c>
      <c r="B641" s="714"/>
      <c r="C641" s="712">
        <v>40254</v>
      </c>
      <c r="D641" s="718" t="s">
        <v>1857</v>
      </c>
      <c r="E641" s="718" t="s">
        <v>1739</v>
      </c>
      <c r="F641" s="718" t="s">
        <v>1740</v>
      </c>
      <c r="G641" s="718" t="s">
        <v>518</v>
      </c>
      <c r="H641" s="719">
        <v>12900</v>
      </c>
      <c r="I641" s="620"/>
      <c r="J641" s="713"/>
    </row>
    <row r="642" spans="1:10" s="718" customFormat="1" outlineLevel="1" x14ac:dyDescent="0.2">
      <c r="A642" s="716"/>
      <c r="B642" s="716"/>
      <c r="C642" s="712">
        <v>40254</v>
      </c>
      <c r="D642" s="718" t="s">
        <v>1856</v>
      </c>
      <c r="E642" s="718" t="s">
        <v>1500</v>
      </c>
      <c r="F642" s="718" t="s">
        <v>1740</v>
      </c>
      <c r="G642" s="718" t="s">
        <v>518</v>
      </c>
      <c r="H642" s="719">
        <v>20000</v>
      </c>
      <c r="I642" s="619"/>
    </row>
    <row r="643" spans="1:10" s="718" customFormat="1" outlineLevel="1" x14ac:dyDescent="0.2">
      <c r="A643" s="716"/>
      <c r="B643" s="716"/>
      <c r="C643" s="712">
        <v>40254</v>
      </c>
      <c r="D643" s="718" t="s">
        <v>1856</v>
      </c>
      <c r="E643" s="718" t="s">
        <v>1501</v>
      </c>
      <c r="F643" s="718" t="s">
        <v>1740</v>
      </c>
      <c r="G643" s="718" t="s">
        <v>518</v>
      </c>
      <c r="H643" s="719">
        <v>150750</v>
      </c>
      <c r="I643" s="619"/>
    </row>
    <row r="644" spans="1:10" s="718" customFormat="1" outlineLevel="1" x14ac:dyDescent="0.2">
      <c r="A644" s="716"/>
      <c r="B644" s="716"/>
      <c r="C644" s="712">
        <v>40254</v>
      </c>
      <c r="D644" s="718" t="s">
        <v>1856</v>
      </c>
      <c r="E644" s="718" t="s">
        <v>1502</v>
      </c>
      <c r="F644" s="718" t="s">
        <v>1503</v>
      </c>
      <c r="G644" s="718" t="s">
        <v>518</v>
      </c>
      <c r="H644" s="719">
        <v>126000</v>
      </c>
      <c r="I644" s="619"/>
    </row>
    <row r="645" spans="1:10" s="718" customFormat="1" outlineLevel="1" x14ac:dyDescent="0.2">
      <c r="A645" s="716"/>
      <c r="B645" s="716"/>
      <c r="C645" s="712">
        <v>40254</v>
      </c>
      <c r="D645" s="718" t="s">
        <v>1856</v>
      </c>
      <c r="E645" s="718" t="s">
        <v>831</v>
      </c>
      <c r="F645" s="718" t="s">
        <v>1740</v>
      </c>
      <c r="G645" s="718" t="s">
        <v>518</v>
      </c>
      <c r="H645" s="719">
        <v>3960</v>
      </c>
      <c r="I645" s="619"/>
    </row>
    <row r="646" spans="1:10" s="718" customFormat="1" outlineLevel="1" x14ac:dyDescent="0.2">
      <c r="A646" s="716"/>
      <c r="B646" s="716"/>
      <c r="C646" s="712">
        <v>40254</v>
      </c>
      <c r="D646" s="718" t="s">
        <v>464</v>
      </c>
      <c r="E646" s="718" t="s">
        <v>1741</v>
      </c>
      <c r="F646" s="718" t="s">
        <v>102</v>
      </c>
      <c r="G646" s="718" t="s">
        <v>518</v>
      </c>
      <c r="H646" s="719">
        <v>-13500</v>
      </c>
      <c r="I646" s="619"/>
    </row>
    <row r="647" spans="1:10" s="718" customFormat="1" outlineLevel="1" x14ac:dyDescent="0.2">
      <c r="A647" s="804" t="s">
        <v>835</v>
      </c>
      <c r="B647" s="714"/>
      <c r="C647" s="717">
        <v>40255</v>
      </c>
      <c r="D647" s="718" t="s">
        <v>464</v>
      </c>
      <c r="E647" s="718" t="s">
        <v>1499</v>
      </c>
      <c r="F647" s="718" t="s">
        <v>102</v>
      </c>
      <c r="G647" s="718" t="s">
        <v>518</v>
      </c>
      <c r="H647" s="719">
        <v>-18000</v>
      </c>
      <c r="I647" s="619"/>
    </row>
    <row r="648" spans="1:10" s="718" customFormat="1" outlineLevel="1" x14ac:dyDescent="0.2">
      <c r="A648" s="716"/>
      <c r="B648" s="716"/>
      <c r="C648" s="717">
        <v>40255</v>
      </c>
      <c r="D648" s="718" t="s">
        <v>1856</v>
      </c>
      <c r="E648" s="718" t="s">
        <v>1498</v>
      </c>
      <c r="F648" s="718" t="s">
        <v>1740</v>
      </c>
      <c r="G648" s="718" t="s">
        <v>518</v>
      </c>
      <c r="H648" s="719">
        <v>5600</v>
      </c>
      <c r="I648" s="619"/>
    </row>
    <row r="649" spans="1:10" s="718" customFormat="1" outlineLevel="1" x14ac:dyDescent="0.2">
      <c r="A649" s="804" t="s">
        <v>835</v>
      </c>
      <c r="B649" s="714"/>
      <c r="C649" s="717">
        <v>40256</v>
      </c>
      <c r="D649" s="718" t="s">
        <v>1856</v>
      </c>
      <c r="E649" s="718" t="s">
        <v>1506</v>
      </c>
      <c r="F649" s="718" t="s">
        <v>1740</v>
      </c>
      <c r="G649" s="718" t="s">
        <v>518</v>
      </c>
      <c r="H649" s="719">
        <v>6400</v>
      </c>
      <c r="I649" s="619"/>
    </row>
    <row r="650" spans="1:10" s="718" customFormat="1" outlineLevel="1" x14ac:dyDescent="0.2">
      <c r="A650" s="716"/>
      <c r="B650" s="716"/>
      <c r="C650" s="717">
        <v>40256</v>
      </c>
      <c r="D650" s="718" t="s">
        <v>1856</v>
      </c>
      <c r="E650" s="718" t="s">
        <v>1507</v>
      </c>
      <c r="F650" s="718" t="s">
        <v>1740</v>
      </c>
      <c r="G650" s="718" t="s">
        <v>518</v>
      </c>
      <c r="H650" s="719">
        <v>25125</v>
      </c>
      <c r="I650" s="619"/>
    </row>
    <row r="651" spans="1:10" s="718" customFormat="1" outlineLevel="1" x14ac:dyDescent="0.2">
      <c r="A651" s="716"/>
      <c r="B651" s="716"/>
      <c r="C651" s="717">
        <v>40256</v>
      </c>
      <c r="D651" s="718" t="s">
        <v>1856</v>
      </c>
      <c r="E651" s="718" t="s">
        <v>832</v>
      </c>
      <c r="F651" s="718" t="s">
        <v>1508</v>
      </c>
      <c r="G651" s="718" t="s">
        <v>518</v>
      </c>
      <c r="H651" s="719">
        <v>101440</v>
      </c>
      <c r="I651" s="619"/>
    </row>
    <row r="652" spans="1:10" s="718" customFormat="1" outlineLevel="1" x14ac:dyDescent="0.2">
      <c r="A652" s="716"/>
      <c r="B652" s="716"/>
      <c r="C652" s="717">
        <v>40256</v>
      </c>
      <c r="D652" s="718" t="s">
        <v>1856</v>
      </c>
      <c r="E652" s="718" t="s">
        <v>833</v>
      </c>
      <c r="F652" s="718" t="s">
        <v>1508</v>
      </c>
      <c r="G652" s="718" t="s">
        <v>518</v>
      </c>
      <c r="H652" s="719">
        <v>35741</v>
      </c>
      <c r="I652" s="619"/>
    </row>
    <row r="653" spans="1:10" s="718" customFormat="1" outlineLevel="1" x14ac:dyDescent="0.2">
      <c r="A653" s="716"/>
      <c r="B653" s="716"/>
      <c r="C653" s="717">
        <v>40256</v>
      </c>
      <c r="D653" s="718" t="s">
        <v>1856</v>
      </c>
      <c r="E653" s="718" t="s">
        <v>1518</v>
      </c>
      <c r="F653" s="718" t="s">
        <v>1740</v>
      </c>
      <c r="G653" s="718" t="s">
        <v>518</v>
      </c>
      <c r="H653" s="719">
        <v>8000</v>
      </c>
      <c r="I653" s="619"/>
    </row>
    <row r="654" spans="1:10" s="718" customFormat="1" outlineLevel="1" x14ac:dyDescent="0.2">
      <c r="A654" s="716"/>
      <c r="B654" s="716"/>
      <c r="C654" s="717">
        <v>40256</v>
      </c>
      <c r="D654" s="718" t="s">
        <v>1856</v>
      </c>
      <c r="E654" s="718" t="s">
        <v>834</v>
      </c>
      <c r="F654" s="718" t="s">
        <v>1740</v>
      </c>
      <c r="G654" s="718" t="s">
        <v>518</v>
      </c>
      <c r="H654" s="719">
        <v>21313</v>
      </c>
      <c r="I654" s="619"/>
    </row>
    <row r="655" spans="1:10" s="718" customFormat="1" outlineLevel="1" x14ac:dyDescent="0.2">
      <c r="A655" s="716"/>
      <c r="B655" s="716"/>
      <c r="C655" s="717">
        <v>40256</v>
      </c>
      <c r="D655" s="718" t="s">
        <v>1656</v>
      </c>
      <c r="E655" s="718" t="s">
        <v>1506</v>
      </c>
      <c r="F655" s="718" t="s">
        <v>1740</v>
      </c>
      <c r="G655" s="718" t="s">
        <v>518</v>
      </c>
      <c r="H655" s="719">
        <v>6000</v>
      </c>
      <c r="I655" s="619"/>
    </row>
    <row r="656" spans="1:10" outlineLevel="1" x14ac:dyDescent="0.2">
      <c r="A656" s="804" t="s">
        <v>835</v>
      </c>
      <c r="B656" s="714"/>
      <c r="C656" s="712">
        <v>40257</v>
      </c>
      <c r="I656" s="620"/>
      <c r="J656" s="713"/>
    </row>
    <row r="657" spans="1:10" outlineLevel="1" x14ac:dyDescent="0.2">
      <c r="A657" s="715"/>
      <c r="C657" s="712">
        <v>40258</v>
      </c>
      <c r="I657" s="620"/>
      <c r="J657" s="713"/>
    </row>
    <row r="658" spans="1:10" outlineLevel="1" x14ac:dyDescent="0.2">
      <c r="A658" s="715"/>
      <c r="C658" s="712">
        <v>40259</v>
      </c>
      <c r="D658" s="713" t="s">
        <v>1120</v>
      </c>
      <c r="E658" s="713" t="s">
        <v>1123</v>
      </c>
      <c r="F658" t="s">
        <v>1740</v>
      </c>
      <c r="G658" s="713" t="s">
        <v>518</v>
      </c>
      <c r="H658" s="701">
        <v>1990</v>
      </c>
      <c r="I658" s="620"/>
      <c r="J658" s="713"/>
    </row>
    <row r="659" spans="1:10" outlineLevel="1" x14ac:dyDescent="0.2">
      <c r="A659" s="715"/>
      <c r="C659" s="712">
        <v>40259</v>
      </c>
      <c r="D659" s="713" t="s">
        <v>43</v>
      </c>
      <c r="E659" s="713" t="s">
        <v>1124</v>
      </c>
      <c r="F659" s="713" t="s">
        <v>1653</v>
      </c>
      <c r="G659" s="713" t="s">
        <v>518</v>
      </c>
      <c r="H659" s="701">
        <v>1040</v>
      </c>
      <c r="I659" s="620"/>
      <c r="J659" s="713"/>
    </row>
    <row r="660" spans="1:10" outlineLevel="1" x14ac:dyDescent="0.2">
      <c r="A660" s="715"/>
      <c r="C660" s="712">
        <v>40259</v>
      </c>
      <c r="D660" s="713" t="s">
        <v>1121</v>
      </c>
      <c r="E660" s="713" t="s">
        <v>1122</v>
      </c>
      <c r="F660" t="s">
        <v>1740</v>
      </c>
      <c r="G660" s="713" t="s">
        <v>518</v>
      </c>
      <c r="H660" s="701">
        <v>6300</v>
      </c>
      <c r="I660" s="620"/>
      <c r="J660" s="713"/>
    </row>
    <row r="661" spans="1:10" outlineLevel="1" x14ac:dyDescent="0.2">
      <c r="A661" s="715"/>
      <c r="C661" s="712">
        <v>40260</v>
      </c>
      <c r="I661" s="620"/>
      <c r="J661" s="713"/>
    </row>
    <row r="662" spans="1:10" outlineLevel="1" x14ac:dyDescent="0.2">
      <c r="A662" s="715"/>
      <c r="C662" s="712">
        <v>40261</v>
      </c>
      <c r="I662" s="620"/>
      <c r="J662" s="713"/>
    </row>
    <row r="663" spans="1:10" outlineLevel="1" x14ac:dyDescent="0.2">
      <c r="A663" s="715"/>
      <c r="C663" s="712">
        <v>40262</v>
      </c>
      <c r="I663" s="620"/>
      <c r="J663" s="713"/>
    </row>
    <row r="664" spans="1:10" outlineLevel="1" x14ac:dyDescent="0.2">
      <c r="A664" s="715"/>
      <c r="C664" s="712">
        <v>40263</v>
      </c>
      <c r="D664" s="713" t="s">
        <v>1505</v>
      </c>
      <c r="E664" s="713" t="s">
        <v>410</v>
      </c>
      <c r="F664" s="718" t="s">
        <v>1740</v>
      </c>
      <c r="H664" s="701">
        <v>165600</v>
      </c>
      <c r="I664" s="620"/>
      <c r="J664" s="713"/>
    </row>
    <row r="665" spans="1:10" outlineLevel="1" x14ac:dyDescent="0.2">
      <c r="A665" s="715"/>
      <c r="C665" s="712">
        <v>40263</v>
      </c>
      <c r="D665" s="718" t="s">
        <v>478</v>
      </c>
      <c r="E665" s="718" t="s">
        <v>531</v>
      </c>
      <c r="F665" s="718" t="s">
        <v>485</v>
      </c>
      <c r="G665" s="718"/>
      <c r="H665" s="719">
        <v>2800</v>
      </c>
      <c r="I665" s="620"/>
      <c r="J665" s="713"/>
    </row>
    <row r="666" spans="1:10" outlineLevel="1" x14ac:dyDescent="0.2">
      <c r="A666" s="715"/>
      <c r="C666" s="712">
        <v>40263</v>
      </c>
      <c r="D666" s="713" t="s">
        <v>1120</v>
      </c>
      <c r="E666" s="713" t="s">
        <v>837</v>
      </c>
      <c r="F666" s="713" t="s">
        <v>836</v>
      </c>
      <c r="G666" s="713" t="s">
        <v>518</v>
      </c>
      <c r="H666" s="701">
        <v>2990</v>
      </c>
      <c r="I666" s="620"/>
      <c r="J666" s="713"/>
    </row>
    <row r="667" spans="1:10" outlineLevel="1" x14ac:dyDescent="0.2">
      <c r="A667" s="715"/>
      <c r="C667" s="712">
        <v>40264</v>
      </c>
      <c r="D667" s="718"/>
      <c r="E667" s="718"/>
      <c r="F667" s="718"/>
      <c r="G667" s="718"/>
      <c r="H667" s="719"/>
      <c r="I667" s="620"/>
      <c r="J667" s="713"/>
    </row>
    <row r="668" spans="1:10" outlineLevel="1" x14ac:dyDescent="0.2">
      <c r="A668" s="715"/>
      <c r="C668" s="712">
        <v>40265</v>
      </c>
      <c r="I668" s="620"/>
      <c r="J668" s="713"/>
    </row>
    <row r="669" spans="1:10" outlineLevel="1" x14ac:dyDescent="0.2">
      <c r="A669" s="715"/>
      <c r="C669" s="712">
        <v>40266</v>
      </c>
      <c r="I669" s="620"/>
      <c r="J669" s="713"/>
    </row>
    <row r="670" spans="1:10" outlineLevel="1" x14ac:dyDescent="0.2">
      <c r="A670" s="715"/>
      <c r="C670" s="712">
        <v>40267</v>
      </c>
      <c r="I670" s="620"/>
      <c r="J670" s="713"/>
    </row>
    <row r="671" spans="1:10" outlineLevel="1" x14ac:dyDescent="0.2">
      <c r="A671" s="715"/>
      <c r="C671" s="712">
        <v>40268</v>
      </c>
      <c r="I671" s="620"/>
      <c r="J671" s="713"/>
    </row>
    <row r="672" spans="1:10" outlineLevel="1" x14ac:dyDescent="0.2">
      <c r="A672" s="715"/>
      <c r="C672" s="712">
        <v>40269</v>
      </c>
      <c r="I672" s="620"/>
      <c r="J672" s="713"/>
    </row>
    <row r="673" spans="1:11" outlineLevel="1" x14ac:dyDescent="0.2">
      <c r="A673" s="715"/>
      <c r="C673" s="712">
        <v>40270</v>
      </c>
      <c r="D673" s="713" t="s">
        <v>1769</v>
      </c>
      <c r="E673" s="713" t="s">
        <v>1770</v>
      </c>
      <c r="F673" s="713" t="s">
        <v>1653</v>
      </c>
      <c r="G673" s="713" t="s">
        <v>518</v>
      </c>
      <c r="H673" s="701">
        <v>41625</v>
      </c>
      <c r="I673" s="620"/>
      <c r="J673" s="713"/>
    </row>
    <row r="674" spans="1:11" outlineLevel="1" x14ac:dyDescent="0.2">
      <c r="A674" s="715"/>
      <c r="C674" s="712">
        <v>40271</v>
      </c>
      <c r="I674" s="620"/>
      <c r="J674" s="713"/>
    </row>
    <row r="675" spans="1:11" outlineLevel="1" x14ac:dyDescent="0.2">
      <c r="A675" s="715"/>
      <c r="C675" s="712">
        <v>40272</v>
      </c>
      <c r="I675" s="620"/>
      <c r="J675" s="713"/>
    </row>
    <row r="676" spans="1:11" outlineLevel="1" x14ac:dyDescent="0.2">
      <c r="A676" s="715"/>
      <c r="C676" s="712">
        <v>40273</v>
      </c>
      <c r="I676" s="620"/>
      <c r="J676" s="713"/>
    </row>
    <row r="677" spans="1:11" outlineLevel="1" x14ac:dyDescent="0.2">
      <c r="A677" s="715" t="s">
        <v>576</v>
      </c>
      <c r="C677" s="712">
        <v>40274</v>
      </c>
      <c r="D677" s="718" t="s">
        <v>103</v>
      </c>
      <c r="E677" s="718" t="s">
        <v>1654</v>
      </c>
      <c r="F677" s="713" t="s">
        <v>1653</v>
      </c>
      <c r="G677" s="718"/>
      <c r="H677" s="701">
        <v>590</v>
      </c>
      <c r="I677" s="620"/>
      <c r="J677" s="713"/>
    </row>
    <row r="678" spans="1:11" outlineLevel="1" x14ac:dyDescent="0.2">
      <c r="A678" s="715"/>
      <c r="C678" s="712">
        <v>40274</v>
      </c>
      <c r="D678" s="718" t="s">
        <v>103</v>
      </c>
      <c r="E678" s="718" t="s">
        <v>1470</v>
      </c>
      <c r="F678" s="713" t="s">
        <v>1653</v>
      </c>
      <c r="G678" s="718"/>
      <c r="H678" s="701">
        <v>255</v>
      </c>
      <c r="I678" s="620"/>
      <c r="J678" s="713"/>
    </row>
    <row r="679" spans="1:11" outlineLevel="1" x14ac:dyDescent="0.2">
      <c r="A679" s="715"/>
      <c r="C679" s="712">
        <v>40274</v>
      </c>
      <c r="D679" s="718" t="s">
        <v>103</v>
      </c>
      <c r="E679" s="718" t="s">
        <v>1471</v>
      </c>
      <c r="F679" s="713" t="s">
        <v>1653</v>
      </c>
      <c r="G679" s="718"/>
      <c r="H679" s="701">
        <v>1650</v>
      </c>
      <c r="I679" s="620"/>
      <c r="J679" s="713"/>
    </row>
    <row r="680" spans="1:11" outlineLevel="1" x14ac:dyDescent="0.2">
      <c r="A680" s="715" t="s">
        <v>576</v>
      </c>
      <c r="C680" s="712">
        <v>40275</v>
      </c>
      <c r="I680" s="620"/>
      <c r="J680" s="713"/>
    </row>
    <row r="681" spans="1:11" outlineLevel="1" x14ac:dyDescent="0.2">
      <c r="A681" s="715" t="s">
        <v>576</v>
      </c>
      <c r="C681" s="712">
        <v>40276</v>
      </c>
      <c r="I681" s="620"/>
      <c r="J681" s="713"/>
    </row>
    <row r="682" spans="1:11" outlineLevel="1" x14ac:dyDescent="0.2">
      <c r="A682" s="715" t="s">
        <v>576</v>
      </c>
      <c r="C682" s="712">
        <v>40277</v>
      </c>
      <c r="I682" s="620"/>
      <c r="J682" s="713"/>
    </row>
    <row r="683" spans="1:11" outlineLevel="1" x14ac:dyDescent="0.2">
      <c r="A683" s="715" t="s">
        <v>576</v>
      </c>
      <c r="C683" s="712">
        <v>40278</v>
      </c>
      <c r="I683" s="620"/>
      <c r="J683" s="713"/>
    </row>
    <row r="684" spans="1:11" s="790" customFormat="1" outlineLevel="1" x14ac:dyDescent="0.2">
      <c r="A684" s="788"/>
      <c r="B684" s="788"/>
      <c r="C684" s="789">
        <v>40279</v>
      </c>
      <c r="D684" s="790" t="s">
        <v>572</v>
      </c>
      <c r="E684" s="790" t="s">
        <v>573</v>
      </c>
      <c r="F684" s="790" t="s">
        <v>1128</v>
      </c>
      <c r="H684" s="791">
        <v>-90000</v>
      </c>
      <c r="I684" s="792"/>
      <c r="K684" s="611" t="s">
        <v>2957</v>
      </c>
    </row>
    <row r="685" spans="1:11" s="790" customFormat="1" outlineLevel="1" x14ac:dyDescent="0.2">
      <c r="A685" s="788"/>
      <c r="B685" s="788"/>
      <c r="C685" s="789">
        <v>40279</v>
      </c>
      <c r="D685" s="790" t="s">
        <v>572</v>
      </c>
      <c r="E685" s="790" t="s">
        <v>574</v>
      </c>
      <c r="F685" s="790" t="s">
        <v>1896</v>
      </c>
      <c r="H685" s="791">
        <v>-5500</v>
      </c>
      <c r="I685" s="792"/>
      <c r="K685" s="611" t="s">
        <v>2957</v>
      </c>
    </row>
    <row r="686" spans="1:11" outlineLevel="1" x14ac:dyDescent="0.2">
      <c r="A686" s="715"/>
      <c r="C686" s="712">
        <v>40279</v>
      </c>
      <c r="D686" s="713" t="s">
        <v>357</v>
      </c>
      <c r="E686" s="713" t="s">
        <v>575</v>
      </c>
      <c r="F686" s="713" t="s">
        <v>576</v>
      </c>
      <c r="H686" s="701">
        <v>100000</v>
      </c>
      <c r="I686" s="620"/>
      <c r="J686" s="713"/>
    </row>
    <row r="687" spans="1:11" outlineLevel="1" x14ac:dyDescent="0.2">
      <c r="A687" s="715" t="s">
        <v>311</v>
      </c>
      <c r="C687" s="712">
        <v>40280</v>
      </c>
      <c r="D687" s="713" t="s">
        <v>975</v>
      </c>
      <c r="E687" s="713" t="s">
        <v>579</v>
      </c>
      <c r="F687" s="713" t="s">
        <v>1262</v>
      </c>
      <c r="H687" s="701">
        <v>400000</v>
      </c>
      <c r="I687" s="620">
        <v>800000</v>
      </c>
      <c r="J687" s="713" t="s">
        <v>593</v>
      </c>
    </row>
    <row r="688" spans="1:11" s="790" customFormat="1" outlineLevel="1" x14ac:dyDescent="0.2">
      <c r="A688" s="788"/>
      <c r="B688" s="788"/>
      <c r="C688" s="789">
        <v>40280</v>
      </c>
      <c r="D688" s="790" t="s">
        <v>898</v>
      </c>
      <c r="E688" s="790" t="s">
        <v>580</v>
      </c>
      <c r="F688" s="790" t="s">
        <v>102</v>
      </c>
      <c r="H688" s="791">
        <v>-17900</v>
      </c>
      <c r="I688" s="792"/>
      <c r="K688" s="611" t="s">
        <v>2957</v>
      </c>
    </row>
    <row r="689" spans="1:10" outlineLevel="1" x14ac:dyDescent="0.2">
      <c r="A689" s="715"/>
      <c r="C689" s="712">
        <v>40280</v>
      </c>
      <c r="D689" s="713" t="s">
        <v>474</v>
      </c>
      <c r="E689" s="713" t="s">
        <v>581</v>
      </c>
      <c r="F689" s="718" t="s">
        <v>1653</v>
      </c>
      <c r="G689" s="718"/>
      <c r="H689" s="701">
        <v>1300</v>
      </c>
      <c r="I689" s="620"/>
      <c r="J689" s="713"/>
    </row>
    <row r="690" spans="1:10" ht="25.5" outlineLevel="1" x14ac:dyDescent="0.2">
      <c r="A690" s="715" t="s">
        <v>312</v>
      </c>
      <c r="C690" s="712">
        <v>40281</v>
      </c>
      <c r="I690" s="620"/>
      <c r="J690" s="713"/>
    </row>
    <row r="691" spans="1:10" outlineLevel="1" x14ac:dyDescent="0.2">
      <c r="A691" s="715"/>
      <c r="C691" s="712">
        <v>40282</v>
      </c>
      <c r="D691" s="718" t="s">
        <v>1656</v>
      </c>
      <c r="E691" s="718" t="s">
        <v>144</v>
      </c>
      <c r="F691" s="718" t="s">
        <v>1653</v>
      </c>
      <c r="G691" s="718" t="s">
        <v>518</v>
      </c>
      <c r="H691" s="719">
        <v>5900</v>
      </c>
      <c r="I691" s="620"/>
      <c r="J691" s="713"/>
    </row>
    <row r="692" spans="1:10" outlineLevel="1" x14ac:dyDescent="0.2">
      <c r="A692" s="715"/>
      <c r="C692" s="712">
        <v>40282</v>
      </c>
      <c r="D692" s="718" t="s">
        <v>103</v>
      </c>
      <c r="E692" s="718" t="s">
        <v>145</v>
      </c>
      <c r="F692" s="713" t="s">
        <v>1653</v>
      </c>
      <c r="G692" s="718" t="s">
        <v>518</v>
      </c>
      <c r="H692" s="701">
        <v>180</v>
      </c>
      <c r="I692" s="620"/>
      <c r="J692" s="713"/>
    </row>
    <row r="693" spans="1:10" outlineLevel="1" x14ac:dyDescent="0.2">
      <c r="A693" s="715"/>
      <c r="C693" s="712">
        <v>40282</v>
      </c>
      <c r="D693" s="718" t="s">
        <v>103</v>
      </c>
      <c r="E693" s="718" t="s">
        <v>146</v>
      </c>
      <c r="F693" s="713" t="s">
        <v>1653</v>
      </c>
      <c r="G693" s="718" t="s">
        <v>518</v>
      </c>
      <c r="H693" s="701">
        <v>4464</v>
      </c>
      <c r="I693" s="620"/>
      <c r="J693" s="713"/>
    </row>
    <row r="694" spans="1:10" outlineLevel="1" x14ac:dyDescent="0.2">
      <c r="A694" s="715" t="s">
        <v>1503</v>
      </c>
      <c r="C694" s="712">
        <v>40283</v>
      </c>
      <c r="D694" s="718" t="s">
        <v>1856</v>
      </c>
      <c r="E694" s="718" t="s">
        <v>143</v>
      </c>
      <c r="F694" s="718" t="s">
        <v>1503</v>
      </c>
      <c r="G694" s="718"/>
      <c r="H694" s="719">
        <v>21000</v>
      </c>
      <c r="I694" s="620"/>
      <c r="J694" s="713"/>
    </row>
    <row r="695" spans="1:10" outlineLevel="1" x14ac:dyDescent="0.2">
      <c r="A695" s="715"/>
      <c r="C695" s="712">
        <v>40284</v>
      </c>
      <c r="I695" s="620"/>
      <c r="J695" s="713"/>
    </row>
    <row r="696" spans="1:10" outlineLevel="1" x14ac:dyDescent="0.2">
      <c r="A696" s="715"/>
      <c r="C696" s="712">
        <v>40285</v>
      </c>
      <c r="I696" s="620"/>
      <c r="J696" s="713"/>
    </row>
    <row r="697" spans="1:10" outlineLevel="1" x14ac:dyDescent="0.2">
      <c r="A697" s="715"/>
      <c r="C697" s="712">
        <v>40286</v>
      </c>
      <c r="I697" s="620"/>
      <c r="J697" s="713"/>
    </row>
    <row r="698" spans="1:10" ht="25.5" outlineLevel="1" x14ac:dyDescent="0.2">
      <c r="A698" s="715" t="s">
        <v>310</v>
      </c>
      <c r="C698" s="712">
        <v>40287</v>
      </c>
      <c r="D698" s="713" t="s">
        <v>357</v>
      </c>
      <c r="E698" s="713" t="s">
        <v>575</v>
      </c>
      <c r="F698" s="713" t="s">
        <v>576</v>
      </c>
      <c r="H698" s="701">
        <v>100000</v>
      </c>
      <c r="I698" s="620"/>
      <c r="J698" s="713"/>
    </row>
    <row r="699" spans="1:10" ht="51" outlineLevel="1" x14ac:dyDescent="0.2">
      <c r="A699" s="715" t="s">
        <v>309</v>
      </c>
      <c r="C699" s="712">
        <v>40288</v>
      </c>
      <c r="D699" s="713" t="s">
        <v>474</v>
      </c>
      <c r="E699" s="713" t="s">
        <v>774</v>
      </c>
      <c r="F699" s="718" t="s">
        <v>1653</v>
      </c>
      <c r="G699" s="718"/>
      <c r="H699" s="701">
        <v>980</v>
      </c>
      <c r="I699" s="620"/>
      <c r="J699" s="713"/>
    </row>
    <row r="700" spans="1:10" outlineLevel="1" x14ac:dyDescent="0.2">
      <c r="A700" s="715"/>
      <c r="C700" s="712">
        <v>40288</v>
      </c>
      <c r="D700" s="713" t="s">
        <v>1</v>
      </c>
      <c r="E700" s="718" t="s">
        <v>775</v>
      </c>
      <c r="F700" s="339" t="s">
        <v>1363</v>
      </c>
      <c r="G700" s="718" t="s">
        <v>518</v>
      </c>
      <c r="H700" s="719">
        <v>4320</v>
      </c>
      <c r="I700" s="620"/>
      <c r="J700" s="713"/>
    </row>
    <row r="701" spans="1:10" outlineLevel="1" x14ac:dyDescent="0.2">
      <c r="A701" s="715"/>
      <c r="C701" s="712">
        <v>40288</v>
      </c>
      <c r="D701" s="713" t="s">
        <v>1</v>
      </c>
      <c r="E701" s="718" t="s">
        <v>776</v>
      </c>
      <c r="F701" s="339" t="s">
        <v>1363</v>
      </c>
      <c r="G701" s="718" t="s">
        <v>518</v>
      </c>
      <c r="H701" s="719">
        <v>10500</v>
      </c>
      <c r="I701" s="620"/>
      <c r="J701" s="713"/>
    </row>
    <row r="702" spans="1:10" outlineLevel="1" x14ac:dyDescent="0.2">
      <c r="A702" s="715"/>
      <c r="C702" s="712">
        <v>40288</v>
      </c>
      <c r="D702" s="713" t="s">
        <v>1121</v>
      </c>
      <c r="E702" s="718" t="s">
        <v>2158</v>
      </c>
      <c r="F702" s="718" t="s">
        <v>102</v>
      </c>
      <c r="G702" s="718" t="s">
        <v>518</v>
      </c>
      <c r="H702" s="719">
        <v>5351</v>
      </c>
      <c r="I702" s="620"/>
      <c r="J702" s="713"/>
    </row>
    <row r="703" spans="1:10" ht="25.5" outlineLevel="1" x14ac:dyDescent="0.2">
      <c r="A703" s="715" t="s">
        <v>310</v>
      </c>
      <c r="C703" s="712">
        <v>40289</v>
      </c>
      <c r="D703" s="718" t="s">
        <v>302</v>
      </c>
      <c r="E703" s="718" t="s">
        <v>303</v>
      </c>
      <c r="F703" s="718" t="s">
        <v>1653</v>
      </c>
      <c r="G703" s="718" t="s">
        <v>518</v>
      </c>
      <c r="H703" s="719">
        <v>6500</v>
      </c>
      <c r="I703" s="620"/>
      <c r="J703" s="713"/>
    </row>
    <row r="704" spans="1:10" outlineLevel="1" x14ac:dyDescent="0.2">
      <c r="A704" s="715"/>
      <c r="C704" s="712">
        <v>40289</v>
      </c>
      <c r="D704" s="718" t="s">
        <v>2186</v>
      </c>
      <c r="E704" s="718" t="s">
        <v>2187</v>
      </c>
      <c r="F704" s="718" t="s">
        <v>836</v>
      </c>
      <c r="G704" s="718" t="s">
        <v>518</v>
      </c>
      <c r="H704" s="719">
        <v>53235</v>
      </c>
      <c r="I704" s="620"/>
      <c r="J704" s="713"/>
    </row>
    <row r="705" spans="1:10" ht="25.5" outlineLevel="1" x14ac:dyDescent="0.2">
      <c r="A705" s="715" t="s">
        <v>310</v>
      </c>
      <c r="C705" s="712">
        <v>40290</v>
      </c>
      <c r="D705" s="718" t="s">
        <v>1656</v>
      </c>
      <c r="E705" s="718" t="s">
        <v>2159</v>
      </c>
      <c r="F705" s="718" t="s">
        <v>1503</v>
      </c>
      <c r="G705" s="718"/>
      <c r="H705" s="719">
        <v>2070</v>
      </c>
      <c r="I705" s="620"/>
      <c r="J705" s="713"/>
    </row>
    <row r="706" spans="1:10" outlineLevel="1" x14ac:dyDescent="0.2">
      <c r="A706" s="715"/>
      <c r="C706" s="712">
        <v>40290</v>
      </c>
      <c r="D706" s="718" t="s">
        <v>1656</v>
      </c>
      <c r="E706" s="718" t="s">
        <v>307</v>
      </c>
      <c r="F706" s="718" t="s">
        <v>1503</v>
      </c>
      <c r="G706" s="718"/>
      <c r="H706" s="719">
        <v>1220</v>
      </c>
      <c r="I706" s="620"/>
      <c r="J706" s="713"/>
    </row>
    <row r="707" spans="1:10" outlineLevel="1" x14ac:dyDescent="0.2">
      <c r="A707" s="715"/>
      <c r="C707" s="712">
        <v>40290</v>
      </c>
      <c r="D707" s="713" t="s">
        <v>1505</v>
      </c>
      <c r="E707" s="718" t="s">
        <v>308</v>
      </c>
      <c r="F707" s="718" t="s">
        <v>1503</v>
      </c>
      <c r="H707" s="701">
        <v>90000</v>
      </c>
      <c r="I707" s="620"/>
      <c r="J707" s="713"/>
    </row>
    <row r="708" spans="1:10" outlineLevel="1" x14ac:dyDescent="0.2">
      <c r="A708" s="715" t="s">
        <v>1289</v>
      </c>
      <c r="C708" s="712">
        <v>40290</v>
      </c>
      <c r="D708" s="713" t="s">
        <v>313</v>
      </c>
      <c r="E708" s="718" t="s">
        <v>1289</v>
      </c>
      <c r="F708" s="718" t="s">
        <v>102</v>
      </c>
      <c r="H708" s="701">
        <v>11000</v>
      </c>
      <c r="I708" s="620"/>
      <c r="J708" s="713"/>
    </row>
    <row r="709" spans="1:10" ht="25.5" outlineLevel="1" x14ac:dyDescent="0.2">
      <c r="A709" s="715" t="s">
        <v>310</v>
      </c>
      <c r="C709" s="712">
        <v>40291</v>
      </c>
      <c r="D709" s="713" t="s">
        <v>1120</v>
      </c>
      <c r="E709" s="718" t="s">
        <v>314</v>
      </c>
      <c r="F709" s="718" t="s">
        <v>1503</v>
      </c>
      <c r="H709" s="701">
        <v>4970</v>
      </c>
      <c r="I709" s="620"/>
      <c r="J709" s="713"/>
    </row>
    <row r="710" spans="1:10" ht="25.5" outlineLevel="1" x14ac:dyDescent="0.2">
      <c r="A710" s="715" t="s">
        <v>310</v>
      </c>
      <c r="C710" s="712">
        <v>40292</v>
      </c>
      <c r="D710" s="713" t="s">
        <v>43</v>
      </c>
      <c r="E710" s="718" t="s">
        <v>315</v>
      </c>
      <c r="F710" s="339" t="s">
        <v>1363</v>
      </c>
      <c r="G710" s="718" t="s">
        <v>518</v>
      </c>
      <c r="H710" s="701">
        <v>2875</v>
      </c>
      <c r="I710" s="620"/>
      <c r="J710" s="713"/>
    </row>
    <row r="711" spans="1:10" outlineLevel="1" x14ac:dyDescent="0.2">
      <c r="A711" s="715"/>
      <c r="C711" s="712">
        <v>40293</v>
      </c>
      <c r="I711" s="620"/>
      <c r="J711" s="713"/>
    </row>
    <row r="712" spans="1:10" ht="25.5" outlineLevel="1" x14ac:dyDescent="0.2">
      <c r="A712" s="715" t="s">
        <v>317</v>
      </c>
      <c r="C712" s="712">
        <v>40294</v>
      </c>
      <c r="D712" s="713" t="s">
        <v>975</v>
      </c>
      <c r="E712" s="713" t="s">
        <v>1263</v>
      </c>
      <c r="F712" s="713" t="s">
        <v>1262</v>
      </c>
      <c r="H712" s="701">
        <v>70000</v>
      </c>
      <c r="I712" s="620">
        <v>1000000</v>
      </c>
      <c r="J712" s="713" t="s">
        <v>316</v>
      </c>
    </row>
    <row r="713" spans="1:10" outlineLevel="1" x14ac:dyDescent="0.2">
      <c r="A713" s="715"/>
      <c r="C713" s="712">
        <v>40294</v>
      </c>
      <c r="D713" s="713" t="s">
        <v>975</v>
      </c>
      <c r="E713" s="713" t="s">
        <v>1264</v>
      </c>
      <c r="F713" s="713" t="s">
        <v>1166</v>
      </c>
      <c r="H713" s="701">
        <v>750000</v>
      </c>
      <c r="I713" s="620"/>
      <c r="J713" s="713"/>
    </row>
    <row r="714" spans="1:10" outlineLevel="1" x14ac:dyDescent="0.2">
      <c r="A714" s="715"/>
      <c r="C714" s="712">
        <v>40294</v>
      </c>
      <c r="D714" s="713" t="s">
        <v>1121</v>
      </c>
      <c r="E714" s="718" t="s">
        <v>318</v>
      </c>
      <c r="F714" s="713" t="s">
        <v>1262</v>
      </c>
      <c r="G714" s="718"/>
      <c r="H714" s="719">
        <v>2818</v>
      </c>
      <c r="I714" s="620"/>
      <c r="J714" s="713"/>
    </row>
    <row r="715" spans="1:10" outlineLevel="1" x14ac:dyDescent="0.2">
      <c r="A715" s="715"/>
      <c r="C715" s="712">
        <v>40295</v>
      </c>
      <c r="I715" s="620"/>
      <c r="J715" s="713"/>
    </row>
    <row r="716" spans="1:10" ht="25.5" outlineLevel="1" x14ac:dyDescent="0.2">
      <c r="A716" s="715" t="s">
        <v>310</v>
      </c>
      <c r="C716" s="712">
        <v>40296</v>
      </c>
      <c r="D716" s="713" t="s">
        <v>1815</v>
      </c>
      <c r="E716" s="713" t="s">
        <v>1816</v>
      </c>
      <c r="F716" s="713" t="s">
        <v>1262</v>
      </c>
      <c r="G716" s="718"/>
      <c r="H716" s="719">
        <v>3400</v>
      </c>
      <c r="I716" s="620"/>
      <c r="J716" s="713"/>
    </row>
    <row r="717" spans="1:10" outlineLevel="1" x14ac:dyDescent="0.2">
      <c r="A717" s="715"/>
      <c r="C717" s="712">
        <v>40297</v>
      </c>
      <c r="I717" s="620"/>
      <c r="J717" s="713"/>
    </row>
    <row r="718" spans="1:10" ht="25.5" outlineLevel="1" x14ac:dyDescent="0.2">
      <c r="A718" s="715" t="s">
        <v>310</v>
      </c>
      <c r="C718" s="712">
        <v>40298</v>
      </c>
      <c r="D718" s="713" t="s">
        <v>1815</v>
      </c>
      <c r="E718" s="713" t="s">
        <v>1352</v>
      </c>
      <c r="F718" s="713" t="s">
        <v>1653</v>
      </c>
      <c r="G718" s="718"/>
      <c r="H718" s="719">
        <v>1100</v>
      </c>
      <c r="I718" s="620"/>
      <c r="J718" s="713"/>
    </row>
    <row r="719" spans="1:10" outlineLevel="1" x14ac:dyDescent="0.2">
      <c r="A719" s="715"/>
      <c r="C719" s="712">
        <v>40299</v>
      </c>
      <c r="I719" s="620"/>
      <c r="J719" s="713"/>
    </row>
    <row r="720" spans="1:10" outlineLevel="1" x14ac:dyDescent="0.2">
      <c r="A720" s="715"/>
      <c r="C720" s="712">
        <v>40300</v>
      </c>
      <c r="I720" s="620"/>
      <c r="J720" s="713"/>
    </row>
    <row r="721" spans="1:10" ht="25.5" outlineLevel="1" x14ac:dyDescent="0.2">
      <c r="A721" s="715" t="s">
        <v>310</v>
      </c>
      <c r="C721" s="712">
        <v>40301</v>
      </c>
      <c r="D721" s="713" t="s">
        <v>1815</v>
      </c>
      <c r="E721" s="713" t="s">
        <v>1355</v>
      </c>
      <c r="F721" s="713" t="s">
        <v>1262</v>
      </c>
      <c r="G721" s="718"/>
      <c r="H721" s="719">
        <v>3300</v>
      </c>
      <c r="I721" s="620"/>
      <c r="J721" s="713"/>
    </row>
    <row r="722" spans="1:10" outlineLevel="1" x14ac:dyDescent="0.2">
      <c r="A722" s="715"/>
      <c r="C722" s="712">
        <v>40301</v>
      </c>
      <c r="D722" s="713" t="s">
        <v>1815</v>
      </c>
      <c r="E722" s="713" t="s">
        <v>1354</v>
      </c>
      <c r="F722" s="713" t="s">
        <v>1653</v>
      </c>
      <c r="G722" s="718"/>
      <c r="H722" s="719">
        <v>600</v>
      </c>
      <c r="I722" s="620"/>
      <c r="J722" s="713"/>
    </row>
    <row r="723" spans="1:10" outlineLevel="1" x14ac:dyDescent="0.2">
      <c r="A723" s="715"/>
      <c r="C723" s="712">
        <v>40302</v>
      </c>
      <c r="D723" s="713" t="s">
        <v>492</v>
      </c>
      <c r="E723" s="718" t="s">
        <v>1353</v>
      </c>
      <c r="F723" s="718" t="s">
        <v>485</v>
      </c>
      <c r="G723" s="718"/>
      <c r="H723" s="719">
        <v>18000</v>
      </c>
      <c r="I723" s="620"/>
      <c r="J723" s="713"/>
    </row>
    <row r="724" spans="1:10" outlineLevel="1" x14ac:dyDescent="0.2">
      <c r="A724" s="715"/>
      <c r="C724" s="712">
        <v>40303</v>
      </c>
      <c r="I724" s="620"/>
      <c r="J724" s="713"/>
    </row>
    <row r="725" spans="1:10" outlineLevel="1" x14ac:dyDescent="0.2">
      <c r="A725" s="715"/>
      <c r="C725" s="712">
        <v>40304</v>
      </c>
      <c r="I725" s="620"/>
      <c r="J725" s="713"/>
    </row>
    <row r="726" spans="1:10" outlineLevel="1" x14ac:dyDescent="0.2">
      <c r="A726" s="715"/>
      <c r="C726" s="712">
        <v>40305</v>
      </c>
      <c r="I726" s="620"/>
      <c r="J726" s="713"/>
    </row>
    <row r="727" spans="1:10" outlineLevel="1" x14ac:dyDescent="0.2">
      <c r="A727" s="715"/>
      <c r="C727" s="712">
        <v>40306</v>
      </c>
      <c r="I727" s="620"/>
      <c r="J727" s="713"/>
    </row>
    <row r="728" spans="1:10" ht="25.5" outlineLevel="1" x14ac:dyDescent="0.2">
      <c r="A728" s="715" t="s">
        <v>317</v>
      </c>
      <c r="C728" s="712">
        <v>40307</v>
      </c>
      <c r="I728" s="620"/>
      <c r="J728" s="713"/>
    </row>
    <row r="729" spans="1:10" outlineLevel="1" x14ac:dyDescent="0.2">
      <c r="A729" s="715"/>
      <c r="C729" s="712">
        <v>40308</v>
      </c>
      <c r="D729" s="713" t="s">
        <v>1991</v>
      </c>
      <c r="E729" s="713" t="s">
        <v>1992</v>
      </c>
      <c r="F729" s="713" t="s">
        <v>1166</v>
      </c>
      <c r="G729" s="713" t="s">
        <v>518</v>
      </c>
      <c r="H729" s="701">
        <v>676540</v>
      </c>
      <c r="I729" s="620"/>
      <c r="J729" s="713"/>
    </row>
    <row r="730" spans="1:10" outlineLevel="1" x14ac:dyDescent="0.2">
      <c r="A730" s="715" t="s">
        <v>783</v>
      </c>
      <c r="C730" s="712">
        <v>40309</v>
      </c>
      <c r="D730" s="713" t="s">
        <v>1120</v>
      </c>
      <c r="E730" s="718" t="s">
        <v>782</v>
      </c>
      <c r="F730" s="713" t="s">
        <v>1166</v>
      </c>
      <c r="H730" s="701">
        <v>5385</v>
      </c>
      <c r="I730" s="620"/>
      <c r="J730" s="713"/>
    </row>
    <row r="731" spans="1:10" outlineLevel="1" x14ac:dyDescent="0.2">
      <c r="A731" s="715" t="s">
        <v>783</v>
      </c>
      <c r="C731" s="712">
        <v>40310</v>
      </c>
      <c r="D731" s="713" t="s">
        <v>1815</v>
      </c>
      <c r="E731" s="718" t="s">
        <v>281</v>
      </c>
      <c r="F731" s="713" t="s">
        <v>1166</v>
      </c>
      <c r="H731" s="701">
        <v>3080</v>
      </c>
      <c r="I731" s="620"/>
      <c r="J731" s="713"/>
    </row>
    <row r="732" spans="1:10" outlineLevel="1" x14ac:dyDescent="0.2">
      <c r="A732" s="715"/>
      <c r="C732" s="712">
        <v>40310</v>
      </c>
      <c r="D732" s="713" t="s">
        <v>279</v>
      </c>
      <c r="E732" s="718" t="s">
        <v>280</v>
      </c>
      <c r="F732" s="713" t="s">
        <v>1107</v>
      </c>
      <c r="H732" s="701">
        <v>20000</v>
      </c>
      <c r="I732" s="620"/>
      <c r="J732" s="713"/>
    </row>
    <row r="733" spans="1:10" outlineLevel="1" x14ac:dyDescent="0.2">
      <c r="A733" s="715"/>
      <c r="C733" s="712">
        <v>40311</v>
      </c>
      <c r="I733" s="620"/>
      <c r="J733" s="713"/>
    </row>
    <row r="734" spans="1:10" outlineLevel="1" x14ac:dyDescent="0.2">
      <c r="A734" s="715"/>
      <c r="C734" s="712">
        <v>40312</v>
      </c>
      <c r="I734" s="620"/>
      <c r="J734" s="713"/>
    </row>
    <row r="735" spans="1:10" outlineLevel="1" x14ac:dyDescent="0.2">
      <c r="A735" s="715" t="s">
        <v>1761</v>
      </c>
      <c r="C735" s="712">
        <v>40313</v>
      </c>
      <c r="I735" s="620"/>
      <c r="J735" s="713"/>
    </row>
    <row r="736" spans="1:10" outlineLevel="1" x14ac:dyDescent="0.2">
      <c r="A736" s="715"/>
      <c r="C736" s="712">
        <v>40314</v>
      </c>
      <c r="I736" s="620"/>
      <c r="J736" s="713"/>
    </row>
    <row r="737" spans="1:10" outlineLevel="1" x14ac:dyDescent="0.2">
      <c r="A737" s="715"/>
      <c r="C737" s="712">
        <v>40315</v>
      </c>
      <c r="D737" s="713" t="s">
        <v>1345</v>
      </c>
      <c r="E737" s="713" t="s">
        <v>1523</v>
      </c>
      <c r="F737" s="713" t="s">
        <v>952</v>
      </c>
      <c r="H737" s="701">
        <v>6250</v>
      </c>
      <c r="I737" s="620"/>
      <c r="J737" s="713"/>
    </row>
    <row r="738" spans="1:10" outlineLevel="1" x14ac:dyDescent="0.2">
      <c r="A738" s="715"/>
      <c r="C738" s="712">
        <v>40315</v>
      </c>
      <c r="D738" s="713" t="s">
        <v>1</v>
      </c>
      <c r="E738" s="718" t="s">
        <v>1172</v>
      </c>
      <c r="F738" s="339" t="s">
        <v>1363</v>
      </c>
      <c r="G738" s="718" t="s">
        <v>518</v>
      </c>
      <c r="H738" s="719">
        <v>5250</v>
      </c>
      <c r="I738" s="620"/>
      <c r="J738" s="713"/>
    </row>
    <row r="739" spans="1:10" outlineLevel="1" x14ac:dyDescent="0.2">
      <c r="A739" s="715"/>
      <c r="C739" s="712">
        <v>40316</v>
      </c>
      <c r="I739" s="620"/>
      <c r="J739" s="713"/>
    </row>
    <row r="740" spans="1:10" outlineLevel="1" x14ac:dyDescent="0.2">
      <c r="A740" s="715"/>
      <c r="C740" s="712">
        <v>40317</v>
      </c>
      <c r="I740" s="620">
        <v>200000</v>
      </c>
      <c r="J740" s="713" t="s">
        <v>1174</v>
      </c>
    </row>
    <row r="741" spans="1:10" outlineLevel="1" x14ac:dyDescent="0.2">
      <c r="A741" s="715"/>
      <c r="C741" s="712">
        <v>40318</v>
      </c>
      <c r="I741" s="620">
        <v>100000</v>
      </c>
      <c r="J741" s="713" t="s">
        <v>1175</v>
      </c>
    </row>
    <row r="742" spans="1:10" outlineLevel="1" x14ac:dyDescent="0.2">
      <c r="A742" s="715"/>
      <c r="C742" s="712">
        <v>40319</v>
      </c>
      <c r="I742" s="620">
        <v>1000000</v>
      </c>
      <c r="J742" s="713" t="s">
        <v>316</v>
      </c>
    </row>
    <row r="743" spans="1:10" outlineLevel="1" x14ac:dyDescent="0.2">
      <c r="A743" s="715"/>
      <c r="C743" s="712">
        <v>40320</v>
      </c>
      <c r="D743" s="713" t="s">
        <v>1306</v>
      </c>
      <c r="E743" s="718" t="s">
        <v>686</v>
      </c>
      <c r="F743" s="713" t="s">
        <v>1653</v>
      </c>
      <c r="G743" s="718" t="s">
        <v>518</v>
      </c>
      <c r="H743" s="701">
        <v>17254</v>
      </c>
      <c r="I743" s="620">
        <v>-380000</v>
      </c>
      <c r="J743" s="713" t="s">
        <v>1171</v>
      </c>
    </row>
    <row r="744" spans="1:10" outlineLevel="1" x14ac:dyDescent="0.2">
      <c r="A744" s="715"/>
      <c r="C744" s="712">
        <v>40321</v>
      </c>
      <c r="I744" s="620">
        <v>-20000</v>
      </c>
      <c r="J744" s="713" t="s">
        <v>1173</v>
      </c>
    </row>
    <row r="745" spans="1:10" outlineLevel="1" x14ac:dyDescent="0.2">
      <c r="A745" s="715"/>
      <c r="C745" s="712">
        <v>40322</v>
      </c>
      <c r="I745" s="620">
        <v>900000</v>
      </c>
      <c r="J745" s="713" t="s">
        <v>1174</v>
      </c>
    </row>
    <row r="746" spans="1:10" outlineLevel="1" x14ac:dyDescent="0.2">
      <c r="A746" s="715"/>
      <c r="C746" s="712">
        <v>40323</v>
      </c>
      <c r="D746" s="713" t="s">
        <v>647</v>
      </c>
      <c r="E746" s="713" t="s">
        <v>649</v>
      </c>
      <c r="F746" s="713" t="s">
        <v>646</v>
      </c>
      <c r="H746" s="701">
        <v>17980</v>
      </c>
      <c r="I746" s="620"/>
      <c r="J746" s="713"/>
    </row>
    <row r="747" spans="1:10" outlineLevel="1" x14ac:dyDescent="0.2">
      <c r="A747" s="715"/>
      <c r="C747" s="712">
        <v>40324</v>
      </c>
      <c r="D747" s="713" t="s">
        <v>1505</v>
      </c>
      <c r="E747" s="718" t="s">
        <v>648</v>
      </c>
      <c r="F747" s="718" t="s">
        <v>1508</v>
      </c>
      <c r="H747" s="701">
        <v>121000</v>
      </c>
      <c r="I747" s="620">
        <v>-300000</v>
      </c>
      <c r="J747" s="713" t="s">
        <v>1930</v>
      </c>
    </row>
    <row r="748" spans="1:10" outlineLevel="1" x14ac:dyDescent="0.2">
      <c r="A748" s="715"/>
      <c r="C748" s="712">
        <v>40324</v>
      </c>
      <c r="D748" s="718" t="s">
        <v>1442</v>
      </c>
      <c r="E748" s="718" t="s">
        <v>651</v>
      </c>
      <c r="F748" s="718" t="s">
        <v>1508</v>
      </c>
      <c r="H748" s="701">
        <v>53000</v>
      </c>
      <c r="I748" s="620"/>
      <c r="J748" s="713"/>
    </row>
    <row r="749" spans="1:10" outlineLevel="1" x14ac:dyDescent="0.2">
      <c r="A749" s="715"/>
      <c r="C749" s="712">
        <v>40324</v>
      </c>
      <c r="D749" s="718" t="s">
        <v>1442</v>
      </c>
      <c r="E749" s="718" t="s">
        <v>652</v>
      </c>
      <c r="F749" s="718" t="s">
        <v>1508</v>
      </c>
      <c r="H749" s="701">
        <v>32000</v>
      </c>
      <c r="I749" s="620"/>
      <c r="J749" s="713"/>
    </row>
    <row r="750" spans="1:10" outlineLevel="1" x14ac:dyDescent="0.2">
      <c r="A750" s="715"/>
      <c r="C750" s="712">
        <v>40324</v>
      </c>
      <c r="D750" s="713" t="s">
        <v>647</v>
      </c>
      <c r="E750" s="713" t="s">
        <v>650</v>
      </c>
      <c r="F750" s="713" t="s">
        <v>646</v>
      </c>
      <c r="G750" s="713" t="s">
        <v>518</v>
      </c>
      <c r="H750" s="701">
        <v>80000</v>
      </c>
      <c r="I750" s="620"/>
      <c r="J750" s="713"/>
    </row>
    <row r="751" spans="1:10" outlineLevel="1" x14ac:dyDescent="0.2">
      <c r="A751" s="715"/>
      <c r="C751" s="712">
        <v>40325</v>
      </c>
      <c r="D751" s="718" t="s">
        <v>103</v>
      </c>
      <c r="E751" s="718" t="s">
        <v>1307</v>
      </c>
      <c r="F751" s="713" t="s">
        <v>1653</v>
      </c>
      <c r="G751" s="718" t="s">
        <v>518</v>
      </c>
      <c r="H751" s="701">
        <v>9600</v>
      </c>
      <c r="I751" s="620">
        <v>-60000</v>
      </c>
      <c r="J751" s="713" t="s">
        <v>1305</v>
      </c>
    </row>
    <row r="752" spans="1:10" outlineLevel="1" x14ac:dyDescent="0.2">
      <c r="A752" s="715"/>
      <c r="C752" s="712">
        <v>40325</v>
      </c>
      <c r="D752" s="718" t="s">
        <v>1308</v>
      </c>
      <c r="E752" s="718" t="s">
        <v>682</v>
      </c>
      <c r="F752" s="713" t="s">
        <v>1309</v>
      </c>
      <c r="G752" s="718" t="s">
        <v>518</v>
      </c>
      <c r="H752" s="701">
        <v>24183</v>
      </c>
      <c r="I752" s="620"/>
      <c r="J752" s="713"/>
    </row>
    <row r="753" spans="1:10" outlineLevel="1" x14ac:dyDescent="0.2">
      <c r="A753" s="715"/>
      <c r="C753" s="712">
        <v>40325</v>
      </c>
      <c r="D753" s="718" t="s">
        <v>1308</v>
      </c>
      <c r="E753" s="718" t="s">
        <v>1310</v>
      </c>
      <c r="F753" s="713" t="s">
        <v>1309</v>
      </c>
      <c r="G753" s="718" t="s">
        <v>518</v>
      </c>
      <c r="H753" s="701">
        <v>7031</v>
      </c>
      <c r="I753" s="620"/>
      <c r="J753" s="713"/>
    </row>
    <row r="754" spans="1:10" outlineLevel="1" x14ac:dyDescent="0.2">
      <c r="A754" s="715"/>
      <c r="C754" s="712">
        <v>40326</v>
      </c>
      <c r="D754" s="718" t="s">
        <v>1308</v>
      </c>
      <c r="E754" s="718" t="s">
        <v>684</v>
      </c>
      <c r="F754" s="713" t="s">
        <v>1309</v>
      </c>
      <c r="G754" s="718" t="s">
        <v>518</v>
      </c>
      <c r="H754" s="701">
        <v>1383</v>
      </c>
      <c r="I754" s="620"/>
      <c r="J754" s="713"/>
    </row>
    <row r="755" spans="1:10" outlineLevel="1" x14ac:dyDescent="0.2">
      <c r="A755" s="715"/>
      <c r="C755" s="712">
        <v>40326</v>
      </c>
      <c r="D755" s="718" t="s">
        <v>1308</v>
      </c>
      <c r="E755" s="718" t="s">
        <v>683</v>
      </c>
      <c r="F755" s="713" t="s">
        <v>1309</v>
      </c>
      <c r="G755" s="718" t="s">
        <v>518</v>
      </c>
      <c r="H755" s="701">
        <v>9750</v>
      </c>
      <c r="I755" s="620"/>
      <c r="J755" s="713"/>
    </row>
    <row r="756" spans="1:10" outlineLevel="1" x14ac:dyDescent="0.2">
      <c r="A756" s="715" t="s">
        <v>1945</v>
      </c>
      <c r="C756" s="712">
        <v>40326</v>
      </c>
      <c r="D756" s="718" t="s">
        <v>1940</v>
      </c>
      <c r="E756" s="718" t="s">
        <v>1941</v>
      </c>
      <c r="F756" s="713" t="s">
        <v>1309</v>
      </c>
      <c r="G756" s="718"/>
      <c r="H756" s="701">
        <v>20000</v>
      </c>
      <c r="I756" s="620"/>
      <c r="J756" s="713"/>
    </row>
    <row r="757" spans="1:10" outlineLevel="1" x14ac:dyDescent="0.2">
      <c r="A757" s="715"/>
      <c r="C757" s="712">
        <v>40327</v>
      </c>
      <c r="I757" s="620"/>
      <c r="J757" s="713"/>
    </row>
    <row r="758" spans="1:10" outlineLevel="1" x14ac:dyDescent="0.2">
      <c r="A758" s="715"/>
      <c r="C758" s="712">
        <v>40328</v>
      </c>
      <c r="I758" s="620"/>
      <c r="J758" s="713"/>
    </row>
    <row r="759" spans="1:10" outlineLevel="1" x14ac:dyDescent="0.2">
      <c r="A759" s="715"/>
      <c r="C759" s="712">
        <v>40329</v>
      </c>
      <c r="I759" s="620"/>
      <c r="J759" s="713"/>
    </row>
    <row r="760" spans="1:10" outlineLevel="1" x14ac:dyDescent="0.2">
      <c r="A760" s="715" t="s">
        <v>1945</v>
      </c>
      <c r="C760" s="712">
        <v>40330</v>
      </c>
      <c r="I760" s="620"/>
      <c r="J760" s="713"/>
    </row>
    <row r="761" spans="1:10" outlineLevel="1" x14ac:dyDescent="0.2">
      <c r="A761" s="715"/>
      <c r="C761" s="712">
        <v>40331</v>
      </c>
      <c r="I761" s="620">
        <v>-40000</v>
      </c>
      <c r="J761" s="713" t="s">
        <v>1943</v>
      </c>
    </row>
    <row r="762" spans="1:10" outlineLevel="1" x14ac:dyDescent="0.2">
      <c r="A762" s="715"/>
      <c r="C762" s="712">
        <v>40332</v>
      </c>
      <c r="I762" s="620"/>
      <c r="J762" s="713"/>
    </row>
    <row r="763" spans="1:10" outlineLevel="1" x14ac:dyDescent="0.2">
      <c r="A763" s="715"/>
      <c r="C763" s="712">
        <v>40333</v>
      </c>
      <c r="I763" s="620"/>
      <c r="J763" s="713"/>
    </row>
    <row r="764" spans="1:10" outlineLevel="1" x14ac:dyDescent="0.2">
      <c r="A764" s="715"/>
      <c r="C764" s="712">
        <v>40334</v>
      </c>
      <c r="D764" s="718" t="s">
        <v>1656</v>
      </c>
      <c r="E764" s="718" t="s">
        <v>1938</v>
      </c>
      <c r="F764" s="713" t="s">
        <v>1309</v>
      </c>
      <c r="G764" s="718"/>
      <c r="H764" s="719">
        <v>6580</v>
      </c>
      <c r="I764" s="620"/>
      <c r="J764" s="713"/>
    </row>
    <row r="765" spans="1:10" outlineLevel="1" x14ac:dyDescent="0.2">
      <c r="A765" s="715"/>
      <c r="C765" s="712">
        <v>40334</v>
      </c>
      <c r="D765" s="718" t="s">
        <v>1656</v>
      </c>
      <c r="E765" s="718" t="s">
        <v>1939</v>
      </c>
      <c r="F765" s="713" t="s">
        <v>1653</v>
      </c>
      <c r="G765" s="718"/>
      <c r="H765" s="719">
        <v>1100</v>
      </c>
      <c r="I765" s="620"/>
      <c r="J765" s="713"/>
    </row>
    <row r="766" spans="1:10" outlineLevel="1" x14ac:dyDescent="0.2">
      <c r="A766" s="715" t="s">
        <v>1945</v>
      </c>
      <c r="C766" s="712">
        <v>40334</v>
      </c>
      <c r="D766" s="718" t="s">
        <v>1940</v>
      </c>
      <c r="E766" s="718" t="s">
        <v>1941</v>
      </c>
      <c r="F766" s="713" t="s">
        <v>1309</v>
      </c>
      <c r="G766" s="718"/>
      <c r="H766" s="701">
        <v>5000</v>
      </c>
      <c r="I766" s="620"/>
      <c r="J766" s="713"/>
    </row>
    <row r="767" spans="1:10" outlineLevel="1" x14ac:dyDescent="0.2">
      <c r="A767" s="715"/>
      <c r="C767" s="712">
        <v>40335</v>
      </c>
      <c r="I767" s="620"/>
      <c r="J767" s="713"/>
    </row>
    <row r="768" spans="1:10" outlineLevel="1" x14ac:dyDescent="0.2">
      <c r="A768" s="715"/>
      <c r="C768" s="712">
        <v>40336</v>
      </c>
      <c r="I768" s="620"/>
      <c r="J768" s="713"/>
    </row>
    <row r="769" spans="1:10" outlineLevel="1" x14ac:dyDescent="0.2">
      <c r="A769" s="715"/>
      <c r="C769" s="712">
        <v>40337</v>
      </c>
      <c r="I769" s="620"/>
      <c r="J769" s="713"/>
    </row>
    <row r="770" spans="1:10" outlineLevel="1" x14ac:dyDescent="0.2">
      <c r="A770" s="715"/>
      <c r="C770" s="712">
        <v>40338</v>
      </c>
      <c r="I770" s="620"/>
      <c r="J770" s="713"/>
    </row>
    <row r="771" spans="1:10" outlineLevel="1" x14ac:dyDescent="0.2">
      <c r="A771" s="715"/>
      <c r="C771" s="712">
        <v>40339</v>
      </c>
      <c r="D771" s="718" t="s">
        <v>1944</v>
      </c>
      <c r="E771" s="718" t="s">
        <v>1999</v>
      </c>
      <c r="F771" s="713" t="s">
        <v>1309</v>
      </c>
      <c r="G771" s="718" t="s">
        <v>518</v>
      </c>
      <c r="H771" s="701">
        <v>82670</v>
      </c>
      <c r="I771" s="620">
        <v>-180000</v>
      </c>
      <c r="J771" s="713" t="s">
        <v>1305</v>
      </c>
    </row>
    <row r="772" spans="1:10" outlineLevel="1" x14ac:dyDescent="0.2">
      <c r="A772" s="715"/>
      <c r="C772" s="712">
        <v>40339</v>
      </c>
      <c r="D772" s="713" t="s">
        <v>125</v>
      </c>
      <c r="E772" s="713" t="s">
        <v>1522</v>
      </c>
      <c r="F772" s="713" t="s">
        <v>952</v>
      </c>
      <c r="H772" s="701">
        <v>4000</v>
      </c>
      <c r="I772" s="620"/>
      <c r="J772" s="713"/>
    </row>
    <row r="773" spans="1:10" outlineLevel="1" x14ac:dyDescent="0.2">
      <c r="A773" s="715"/>
      <c r="C773" s="712">
        <v>40340</v>
      </c>
      <c r="I773" s="620"/>
      <c r="J773" s="713"/>
    </row>
    <row r="774" spans="1:10" outlineLevel="1" x14ac:dyDescent="0.2">
      <c r="A774" s="715"/>
      <c r="C774" s="712">
        <v>40341</v>
      </c>
      <c r="I774" s="620"/>
      <c r="J774" s="713"/>
    </row>
    <row r="775" spans="1:10" outlineLevel="1" x14ac:dyDescent="0.2">
      <c r="A775" s="715"/>
      <c r="C775" s="712">
        <v>40342</v>
      </c>
      <c r="I775" s="620"/>
      <c r="J775" s="713"/>
    </row>
    <row r="776" spans="1:10" outlineLevel="1" x14ac:dyDescent="0.2">
      <c r="A776" s="715"/>
      <c r="C776" s="712">
        <v>40343</v>
      </c>
      <c r="I776" s="620"/>
      <c r="J776" s="713"/>
    </row>
    <row r="777" spans="1:10" outlineLevel="1" x14ac:dyDescent="0.2">
      <c r="A777" s="715"/>
      <c r="C777" s="712">
        <v>40344</v>
      </c>
      <c r="I777" s="620"/>
      <c r="J777" s="713"/>
    </row>
    <row r="778" spans="1:10" outlineLevel="1" x14ac:dyDescent="0.2">
      <c r="A778" s="715"/>
      <c r="C778" s="712">
        <v>40345</v>
      </c>
      <c r="D778" s="718" t="s">
        <v>103</v>
      </c>
      <c r="E778" s="718" t="s">
        <v>1952</v>
      </c>
      <c r="F778" s="713" t="s">
        <v>1653</v>
      </c>
      <c r="G778" s="718"/>
      <c r="H778" s="701">
        <v>1010</v>
      </c>
      <c r="I778" s="620"/>
      <c r="J778" s="713"/>
    </row>
    <row r="779" spans="1:10" outlineLevel="1" x14ac:dyDescent="0.2">
      <c r="A779" s="715"/>
      <c r="C779" s="712">
        <v>40346</v>
      </c>
      <c r="I779" s="620">
        <v>-83000</v>
      </c>
      <c r="J779" s="713" t="s">
        <v>1954</v>
      </c>
    </row>
    <row r="780" spans="1:10" outlineLevel="1" x14ac:dyDescent="0.2">
      <c r="A780" s="715" t="s">
        <v>1968</v>
      </c>
      <c r="C780" s="712">
        <v>40347</v>
      </c>
      <c r="I780" s="620"/>
      <c r="J780" s="713"/>
    </row>
    <row r="781" spans="1:10" outlineLevel="1" x14ac:dyDescent="0.2">
      <c r="A781" s="715" t="s">
        <v>576</v>
      </c>
      <c r="C781" s="712">
        <v>40348</v>
      </c>
      <c r="I781" s="620"/>
      <c r="J781" s="713"/>
    </row>
    <row r="782" spans="1:10" outlineLevel="1" x14ac:dyDescent="0.2">
      <c r="A782" s="715"/>
      <c r="C782" s="712">
        <v>40349</v>
      </c>
      <c r="I782" s="620"/>
      <c r="J782" s="713"/>
    </row>
    <row r="783" spans="1:10" outlineLevel="1" x14ac:dyDescent="0.2">
      <c r="A783" s="715" t="s">
        <v>1968</v>
      </c>
      <c r="C783" s="712">
        <v>40350</v>
      </c>
      <c r="I783" s="620"/>
      <c r="J783" s="713"/>
    </row>
    <row r="784" spans="1:10" outlineLevel="1" x14ac:dyDescent="0.2">
      <c r="A784" s="715"/>
      <c r="C784" s="712">
        <v>40351</v>
      </c>
      <c r="D784" s="713" t="s">
        <v>1960</v>
      </c>
      <c r="E784" s="713" t="s">
        <v>1967</v>
      </c>
      <c r="F784" s="713" t="s">
        <v>631</v>
      </c>
      <c r="G784" s="713" t="s">
        <v>518</v>
      </c>
      <c r="H784" s="701">
        <v>402000</v>
      </c>
      <c r="I784" s="620">
        <v>1000000</v>
      </c>
      <c r="J784" s="713" t="s">
        <v>316</v>
      </c>
    </row>
    <row r="785" spans="1:10" outlineLevel="1" x14ac:dyDescent="0.2">
      <c r="A785" s="715" t="s">
        <v>1968</v>
      </c>
      <c r="C785" s="712">
        <v>40352</v>
      </c>
      <c r="D785" s="713" t="s">
        <v>1960</v>
      </c>
      <c r="E785" s="713" t="s">
        <v>1966</v>
      </c>
      <c r="F785" s="713" t="s">
        <v>631</v>
      </c>
      <c r="G785" s="713" t="s">
        <v>518</v>
      </c>
      <c r="H785" s="701">
        <v>60000</v>
      </c>
      <c r="I785" s="620"/>
      <c r="J785" s="713"/>
    </row>
    <row r="786" spans="1:10" outlineLevel="1" x14ac:dyDescent="0.2">
      <c r="A786" s="715" t="s">
        <v>1968</v>
      </c>
      <c r="C786" s="712">
        <v>40353</v>
      </c>
      <c r="D786" s="713" t="s">
        <v>1969</v>
      </c>
      <c r="E786" s="713" t="s">
        <v>1970</v>
      </c>
      <c r="F786" t="s">
        <v>2463</v>
      </c>
      <c r="H786" s="701">
        <v>240000</v>
      </c>
      <c r="I786" s="620"/>
      <c r="J786" s="713"/>
    </row>
    <row r="787" spans="1:10" outlineLevel="1" x14ac:dyDescent="0.2">
      <c r="A787" s="715" t="s">
        <v>576</v>
      </c>
      <c r="C787" s="712">
        <v>40353</v>
      </c>
      <c r="D787" s="713" t="s">
        <v>1815</v>
      </c>
      <c r="E787" s="713" t="s">
        <v>1975</v>
      </c>
      <c r="F787" t="s">
        <v>2463</v>
      </c>
      <c r="H787" s="701">
        <v>12180</v>
      </c>
      <c r="I787" s="620"/>
      <c r="J787" s="713"/>
    </row>
    <row r="788" spans="1:10" outlineLevel="1" x14ac:dyDescent="0.2">
      <c r="A788" s="715"/>
      <c r="C788" s="712">
        <v>40353</v>
      </c>
      <c r="D788" s="718" t="s">
        <v>464</v>
      </c>
      <c r="E788" s="718" t="s">
        <v>1971</v>
      </c>
      <c r="F788" s="718" t="s">
        <v>102</v>
      </c>
      <c r="G788" s="718" t="s">
        <v>518</v>
      </c>
      <c r="H788" s="719">
        <v>4480</v>
      </c>
      <c r="I788" s="620"/>
      <c r="J788" s="713"/>
    </row>
    <row r="789" spans="1:10" outlineLevel="1" x14ac:dyDescent="0.2">
      <c r="A789" s="715"/>
      <c r="C789" s="712">
        <v>40354</v>
      </c>
      <c r="I789" s="620"/>
      <c r="J789" s="713"/>
    </row>
    <row r="790" spans="1:10" outlineLevel="1" x14ac:dyDescent="0.2">
      <c r="A790" s="715"/>
      <c r="C790" s="712">
        <v>40355</v>
      </c>
      <c r="D790" s="713" t="s">
        <v>1973</v>
      </c>
      <c r="E790" s="713" t="s">
        <v>1974</v>
      </c>
      <c r="F790" t="s">
        <v>2463</v>
      </c>
      <c r="G790" s="713" t="s">
        <v>518</v>
      </c>
      <c r="H790" s="701">
        <v>5100</v>
      </c>
    </row>
    <row r="791" spans="1:10" outlineLevel="1" x14ac:dyDescent="0.2">
      <c r="A791" s="715"/>
      <c r="C791" s="712">
        <v>40355</v>
      </c>
      <c r="D791" s="713" t="s">
        <v>1976</v>
      </c>
      <c r="E791" s="713" t="s">
        <v>1978</v>
      </c>
      <c r="F791" s="713" t="s">
        <v>1824</v>
      </c>
      <c r="G791" s="713" t="s">
        <v>518</v>
      </c>
      <c r="H791" s="701">
        <v>5480</v>
      </c>
    </row>
    <row r="792" spans="1:10" outlineLevel="1" x14ac:dyDescent="0.2">
      <c r="A792" s="715"/>
      <c r="C792" s="712">
        <v>40355</v>
      </c>
      <c r="D792" s="713" t="s">
        <v>1815</v>
      </c>
      <c r="E792" s="713" t="s">
        <v>1979</v>
      </c>
      <c r="F792" t="s">
        <v>1363</v>
      </c>
      <c r="G792" s="713" t="s">
        <v>518</v>
      </c>
      <c r="H792" s="701">
        <v>18000</v>
      </c>
      <c r="J792" s="599"/>
    </row>
    <row r="793" spans="1:10" outlineLevel="1" x14ac:dyDescent="0.2">
      <c r="A793" s="715"/>
      <c r="C793" s="712">
        <v>40356</v>
      </c>
      <c r="J793" s="599"/>
    </row>
    <row r="794" spans="1:10" outlineLevel="1" x14ac:dyDescent="0.2">
      <c r="A794" s="715"/>
      <c r="C794" s="712">
        <v>40357</v>
      </c>
      <c r="J794" s="599"/>
    </row>
    <row r="795" spans="1:10" outlineLevel="1" x14ac:dyDescent="0.2">
      <c r="A795" s="715"/>
      <c r="C795" s="712">
        <v>40358</v>
      </c>
    </row>
    <row r="796" spans="1:10" outlineLevel="1" x14ac:dyDescent="0.2">
      <c r="A796" s="715"/>
      <c r="C796" s="712">
        <v>40359</v>
      </c>
    </row>
    <row r="797" spans="1:10" outlineLevel="1" x14ac:dyDescent="0.2">
      <c r="A797" s="715"/>
      <c r="C797" s="712">
        <v>40360</v>
      </c>
      <c r="D797" t="s">
        <v>43</v>
      </c>
      <c r="E797" t="s">
        <v>2509</v>
      </c>
      <c r="F797" s="713" t="s">
        <v>1653</v>
      </c>
      <c r="G797" s="718"/>
      <c r="H797" s="719">
        <v>4240</v>
      </c>
      <c r="J797" s="599"/>
    </row>
    <row r="798" spans="1:10" outlineLevel="1" x14ac:dyDescent="0.2">
      <c r="A798" s="715"/>
      <c r="C798" s="712">
        <v>40361</v>
      </c>
      <c r="D798" s="718" t="s">
        <v>103</v>
      </c>
      <c r="E798" s="718" t="s">
        <v>1988</v>
      </c>
      <c r="F798" s="713" t="s">
        <v>1309</v>
      </c>
      <c r="G798" s="718" t="s">
        <v>518</v>
      </c>
      <c r="H798" s="701">
        <v>7164</v>
      </c>
      <c r="J798" s="599"/>
    </row>
    <row r="799" spans="1:10" outlineLevel="1" x14ac:dyDescent="0.2">
      <c r="A799" s="715"/>
      <c r="C799" s="712">
        <v>40361</v>
      </c>
      <c r="D799" s="718" t="s">
        <v>103</v>
      </c>
      <c r="E799" s="718" t="s">
        <v>1987</v>
      </c>
      <c r="F799" s="713" t="s">
        <v>1309</v>
      </c>
      <c r="G799" s="718"/>
      <c r="H799" s="701">
        <v>4200</v>
      </c>
    </row>
    <row r="800" spans="1:10" outlineLevel="1" x14ac:dyDescent="0.2">
      <c r="A800" s="715"/>
      <c r="C800" s="712">
        <v>40361</v>
      </c>
      <c r="D800" s="718" t="s">
        <v>1308</v>
      </c>
      <c r="E800" s="718" t="s">
        <v>1990</v>
      </c>
      <c r="F800" s="713" t="s">
        <v>1309</v>
      </c>
      <c r="G800" s="718"/>
      <c r="H800" s="701">
        <v>3200</v>
      </c>
      <c r="J800" s="599"/>
    </row>
    <row r="801" spans="1:11" outlineLevel="1" x14ac:dyDescent="0.2">
      <c r="A801" s="715" t="s">
        <v>1983</v>
      </c>
      <c r="C801" s="712">
        <v>40362</v>
      </c>
      <c r="D801" s="713" t="s">
        <v>1989</v>
      </c>
      <c r="E801" s="713" t="s">
        <v>1983</v>
      </c>
      <c r="F801" s="713" t="s">
        <v>1309</v>
      </c>
      <c r="G801" s="718"/>
      <c r="H801" s="701">
        <v>10000</v>
      </c>
      <c r="J801" s="599"/>
    </row>
    <row r="802" spans="1:11" outlineLevel="1" x14ac:dyDescent="0.2">
      <c r="A802" s="715"/>
      <c r="C802" s="712">
        <v>40363</v>
      </c>
      <c r="D802" s="718" t="s">
        <v>1656</v>
      </c>
      <c r="E802" s="718" t="s">
        <v>2176</v>
      </c>
      <c r="F802" s="713" t="s">
        <v>1653</v>
      </c>
      <c r="G802" s="718" t="s">
        <v>518</v>
      </c>
      <c r="H802" s="719">
        <v>19970</v>
      </c>
      <c r="J802" s="599"/>
    </row>
    <row r="803" spans="1:11" outlineLevel="1" x14ac:dyDescent="0.2">
      <c r="A803" s="715"/>
      <c r="C803" s="712">
        <v>40363</v>
      </c>
      <c r="D803" s="718" t="s">
        <v>1656</v>
      </c>
      <c r="E803" s="718" t="s">
        <v>1984</v>
      </c>
      <c r="F803" s="713" t="s">
        <v>1653</v>
      </c>
      <c r="G803" s="718" t="s">
        <v>518</v>
      </c>
      <c r="H803" s="719">
        <v>500</v>
      </c>
      <c r="J803" s="599"/>
    </row>
    <row r="804" spans="1:11" outlineLevel="1" x14ac:dyDescent="0.2">
      <c r="A804" s="715"/>
      <c r="C804" s="712">
        <v>40363</v>
      </c>
      <c r="D804" s="718" t="s">
        <v>1120</v>
      </c>
      <c r="E804" s="718" t="s">
        <v>1986</v>
      </c>
      <c r="F804" s="713" t="s">
        <v>1653</v>
      </c>
      <c r="G804" s="718" t="s">
        <v>518</v>
      </c>
      <c r="H804" s="719">
        <v>3920</v>
      </c>
      <c r="J804" s="599"/>
    </row>
    <row r="805" spans="1:11" outlineLevel="1" x14ac:dyDescent="0.2">
      <c r="A805" s="715"/>
      <c r="C805" s="712">
        <v>40364</v>
      </c>
      <c r="D805" s="713" t="s">
        <v>520</v>
      </c>
      <c r="E805" s="713" t="s">
        <v>1985</v>
      </c>
      <c r="F805" s="713" t="s">
        <v>952</v>
      </c>
      <c r="G805" s="718" t="s">
        <v>518</v>
      </c>
      <c r="H805" s="701">
        <v>42030</v>
      </c>
      <c r="J805" s="599"/>
    </row>
    <row r="806" spans="1:11" outlineLevel="1" x14ac:dyDescent="0.2">
      <c r="A806" s="715"/>
      <c r="C806" s="712">
        <v>40364</v>
      </c>
      <c r="D806" s="713" t="s">
        <v>357</v>
      </c>
      <c r="E806" s="713" t="s">
        <v>575</v>
      </c>
      <c r="F806" s="713" t="s">
        <v>576</v>
      </c>
      <c r="H806" s="701">
        <v>170000</v>
      </c>
    </row>
    <row r="807" spans="1:11" outlineLevel="1" x14ac:dyDescent="0.2">
      <c r="A807" s="715"/>
      <c r="C807" s="712">
        <v>40365</v>
      </c>
      <c r="D807" s="718" t="s">
        <v>1308</v>
      </c>
      <c r="E807" s="718" t="s">
        <v>1993</v>
      </c>
      <c r="F807" s="713" t="s">
        <v>1977</v>
      </c>
      <c r="G807" s="718" t="s">
        <v>518</v>
      </c>
      <c r="H807" s="701">
        <v>5625</v>
      </c>
      <c r="J807" s="599"/>
    </row>
    <row r="808" spans="1:11" outlineLevel="1" x14ac:dyDescent="0.2">
      <c r="A808" s="715"/>
      <c r="C808" s="712">
        <v>40365</v>
      </c>
      <c r="D808" s="718" t="s">
        <v>1995</v>
      </c>
      <c r="E808" s="718" t="s">
        <v>1997</v>
      </c>
      <c r="F808" s="713" t="s">
        <v>1977</v>
      </c>
      <c r="G808" s="718"/>
      <c r="H808" s="701">
        <v>20000</v>
      </c>
      <c r="J808" s="599"/>
    </row>
    <row r="809" spans="1:11" s="790" customFormat="1" outlineLevel="1" x14ac:dyDescent="0.2">
      <c r="A809" s="788"/>
      <c r="B809" s="788"/>
      <c r="C809" s="789">
        <v>40365</v>
      </c>
      <c r="D809" s="790" t="s">
        <v>103</v>
      </c>
      <c r="E809" s="790" t="s">
        <v>1994</v>
      </c>
      <c r="F809" s="790" t="s">
        <v>1309</v>
      </c>
      <c r="H809" s="791">
        <v>-1840</v>
      </c>
      <c r="I809" s="822"/>
      <c r="J809" s="905"/>
      <c r="K809" s="611" t="s">
        <v>2957</v>
      </c>
    </row>
    <row r="810" spans="1:11" outlineLevel="1" x14ac:dyDescent="0.2">
      <c r="A810" s="715" t="s">
        <v>1977</v>
      </c>
      <c r="C810" s="712">
        <v>40366</v>
      </c>
      <c r="D810" s="718"/>
      <c r="E810" s="718"/>
      <c r="G810" s="718"/>
    </row>
    <row r="811" spans="1:11" outlineLevel="1" x14ac:dyDescent="0.2">
      <c r="A811" s="715" t="s">
        <v>1977</v>
      </c>
      <c r="C811" s="712">
        <v>40367</v>
      </c>
      <c r="D811" s="718" t="s">
        <v>2004</v>
      </c>
      <c r="E811" s="718" t="s">
        <v>2005</v>
      </c>
      <c r="F811" s="713" t="s">
        <v>1309</v>
      </c>
      <c r="G811" s="713" t="s">
        <v>518</v>
      </c>
      <c r="H811" s="701">
        <v>1000000</v>
      </c>
      <c r="J811" s="599"/>
    </row>
    <row r="812" spans="1:11" outlineLevel="1" x14ac:dyDescent="0.2">
      <c r="A812" s="715" t="s">
        <v>1977</v>
      </c>
      <c r="C812" s="712">
        <v>40368</v>
      </c>
      <c r="D812" s="718" t="s">
        <v>1995</v>
      </c>
      <c r="E812" s="718" t="s">
        <v>1996</v>
      </c>
      <c r="F812" s="713" t="s">
        <v>1977</v>
      </c>
      <c r="G812" s="718"/>
      <c r="H812" s="701">
        <v>100000</v>
      </c>
      <c r="I812" s="620">
        <v>1000000</v>
      </c>
      <c r="J812" s="713" t="s">
        <v>316</v>
      </c>
    </row>
    <row r="813" spans="1:11" outlineLevel="1" x14ac:dyDescent="0.2">
      <c r="A813" s="715" t="s">
        <v>1977</v>
      </c>
      <c r="C813" s="712">
        <v>40368</v>
      </c>
      <c r="D813" s="713" t="s">
        <v>1345</v>
      </c>
      <c r="E813" s="713" t="s">
        <v>128</v>
      </c>
      <c r="F813" s="713" t="s">
        <v>952</v>
      </c>
      <c r="G813" s="713" t="s">
        <v>518</v>
      </c>
      <c r="H813" s="701">
        <v>12600</v>
      </c>
      <c r="I813" s="620">
        <v>200000</v>
      </c>
      <c r="J813" s="713" t="s">
        <v>591</v>
      </c>
    </row>
    <row r="814" spans="1:11" outlineLevel="1" x14ac:dyDescent="0.2">
      <c r="A814" s="715" t="s">
        <v>1977</v>
      </c>
      <c r="C814" s="712">
        <v>40369</v>
      </c>
      <c r="I814" s="620"/>
      <c r="J814" s="713"/>
    </row>
    <row r="815" spans="1:11" outlineLevel="1" x14ac:dyDescent="0.2">
      <c r="A815" s="715" t="s">
        <v>1977</v>
      </c>
      <c r="C815" s="712">
        <v>40370</v>
      </c>
      <c r="J815" s="599"/>
    </row>
    <row r="816" spans="1:11" outlineLevel="1" x14ac:dyDescent="0.2">
      <c r="A816" s="715"/>
      <c r="C816" s="712">
        <v>40371</v>
      </c>
      <c r="J816" s="599"/>
    </row>
    <row r="817" spans="1:10" outlineLevel="1" x14ac:dyDescent="0.2">
      <c r="A817" s="715"/>
      <c r="C817" s="712">
        <v>40372</v>
      </c>
      <c r="D817" s="718" t="s">
        <v>1995</v>
      </c>
      <c r="E817" s="718" t="s">
        <v>1977</v>
      </c>
      <c r="F817" s="713" t="s">
        <v>1977</v>
      </c>
      <c r="G817" s="718"/>
      <c r="H817" s="701">
        <v>690000</v>
      </c>
      <c r="J817" s="599"/>
    </row>
    <row r="818" spans="1:10" outlineLevel="1" x14ac:dyDescent="0.2">
      <c r="A818" s="715"/>
      <c r="C818" s="712">
        <v>40373</v>
      </c>
    </row>
    <row r="819" spans="1:10" outlineLevel="1" x14ac:dyDescent="0.2">
      <c r="A819" s="715"/>
      <c r="C819" s="712">
        <v>40374</v>
      </c>
    </row>
    <row r="820" spans="1:10" outlineLevel="1" x14ac:dyDescent="0.2">
      <c r="A820" s="715"/>
      <c r="C820" s="712">
        <v>40375</v>
      </c>
    </row>
    <row r="821" spans="1:10" outlineLevel="1" x14ac:dyDescent="0.2">
      <c r="A821" s="715"/>
      <c r="C821" s="712">
        <v>40376</v>
      </c>
    </row>
    <row r="822" spans="1:10" outlineLevel="1" x14ac:dyDescent="0.2">
      <c r="A822" s="715"/>
      <c r="C822" s="712">
        <v>40377</v>
      </c>
      <c r="J822" s="599"/>
    </row>
    <row r="823" spans="1:10" outlineLevel="1" x14ac:dyDescent="0.2">
      <c r="A823" s="715"/>
      <c r="C823" s="712">
        <v>40378</v>
      </c>
    </row>
    <row r="824" spans="1:10" outlineLevel="1" x14ac:dyDescent="0.2">
      <c r="A824" s="715"/>
      <c r="C824" s="712">
        <v>40379</v>
      </c>
    </row>
    <row r="825" spans="1:10" outlineLevel="1" x14ac:dyDescent="0.2">
      <c r="A825" s="715"/>
      <c r="C825" s="712">
        <v>40380</v>
      </c>
      <c r="J825" s="599"/>
    </row>
    <row r="826" spans="1:10" outlineLevel="1" x14ac:dyDescent="0.2">
      <c r="A826" s="715"/>
      <c r="C826" s="712">
        <v>40381</v>
      </c>
      <c r="J826" s="599"/>
    </row>
    <row r="827" spans="1:10" outlineLevel="1" x14ac:dyDescent="0.2">
      <c r="A827" s="715"/>
      <c r="C827" s="712">
        <v>40382</v>
      </c>
      <c r="J827" s="599"/>
    </row>
    <row r="828" spans="1:10" outlineLevel="1" x14ac:dyDescent="0.2">
      <c r="A828" s="715"/>
      <c r="C828" s="712">
        <v>40383</v>
      </c>
      <c r="J828" s="599"/>
    </row>
    <row r="829" spans="1:10" outlineLevel="1" x14ac:dyDescent="0.2">
      <c r="A829" s="715"/>
      <c r="C829" s="712">
        <v>40384</v>
      </c>
    </row>
    <row r="830" spans="1:10" outlineLevel="1" x14ac:dyDescent="0.2">
      <c r="A830" s="715" t="s">
        <v>1107</v>
      </c>
      <c r="C830" s="712">
        <v>40385</v>
      </c>
      <c r="D830" s="718" t="s">
        <v>1734</v>
      </c>
      <c r="E830" s="718" t="s">
        <v>2080</v>
      </c>
      <c r="F830" s="718" t="s">
        <v>1107</v>
      </c>
      <c r="G830" s="718"/>
      <c r="H830" s="719">
        <v>7000</v>
      </c>
      <c r="I830" s="620">
        <v>1000000</v>
      </c>
      <c r="J830" s="713" t="s">
        <v>316</v>
      </c>
    </row>
    <row r="831" spans="1:10" outlineLevel="1" x14ac:dyDescent="0.2">
      <c r="A831" s="715"/>
      <c r="C831" s="712">
        <v>40385</v>
      </c>
      <c r="D831" s="718" t="s">
        <v>1734</v>
      </c>
      <c r="E831" s="718" t="s">
        <v>2081</v>
      </c>
      <c r="F831" s="713" t="s">
        <v>1653</v>
      </c>
      <c r="G831" s="718"/>
      <c r="H831" s="719">
        <v>1000</v>
      </c>
      <c r="J831" s="599"/>
    </row>
    <row r="832" spans="1:10" outlineLevel="1" x14ac:dyDescent="0.2">
      <c r="A832" s="715" t="s">
        <v>1107</v>
      </c>
      <c r="C832" s="712">
        <v>40386</v>
      </c>
      <c r="D832" s="718" t="s">
        <v>2101</v>
      </c>
      <c r="E832" s="718" t="s">
        <v>2100</v>
      </c>
      <c r="F832" s="718" t="s">
        <v>1107</v>
      </c>
      <c r="G832" s="718" t="s">
        <v>518</v>
      </c>
      <c r="H832" s="719">
        <v>91235</v>
      </c>
    </row>
    <row r="833" spans="1:8" outlineLevel="1" x14ac:dyDescent="0.2">
      <c r="A833" s="715"/>
      <c r="C833" s="712">
        <v>40386</v>
      </c>
      <c r="D833" s="718" t="s">
        <v>2098</v>
      </c>
      <c r="E833" s="718" t="s">
        <v>2099</v>
      </c>
      <c r="F833" s="713" t="s">
        <v>646</v>
      </c>
      <c r="G833" s="718" t="s">
        <v>518</v>
      </c>
      <c r="H833" s="719">
        <v>90000</v>
      </c>
    </row>
    <row r="834" spans="1:8" outlineLevel="1" x14ac:dyDescent="0.2">
      <c r="A834" s="715"/>
      <c r="C834" s="712">
        <v>40386</v>
      </c>
      <c r="D834" s="713" t="s">
        <v>357</v>
      </c>
      <c r="E834" s="713" t="s">
        <v>2102</v>
      </c>
      <c r="F834" s="713" t="s">
        <v>1977</v>
      </c>
      <c r="H834" s="701">
        <v>20000</v>
      </c>
    </row>
    <row r="835" spans="1:8" outlineLevel="1" x14ac:dyDescent="0.2">
      <c r="A835" s="715"/>
      <c r="C835" s="712">
        <v>40386</v>
      </c>
      <c r="D835" s="713" t="s">
        <v>1973</v>
      </c>
      <c r="E835" s="713" t="s">
        <v>2103</v>
      </c>
      <c r="F835" s="713" t="s">
        <v>1653</v>
      </c>
      <c r="G835" s="713" t="s">
        <v>518</v>
      </c>
      <c r="H835" s="701">
        <v>2200</v>
      </c>
    </row>
    <row r="836" spans="1:8" outlineLevel="1" x14ac:dyDescent="0.2">
      <c r="A836" s="715"/>
      <c r="C836" s="712">
        <v>40386</v>
      </c>
      <c r="D836" s="713" t="s">
        <v>1973</v>
      </c>
      <c r="E836" s="713" t="s">
        <v>2104</v>
      </c>
      <c r="F836" s="718" t="s">
        <v>1107</v>
      </c>
      <c r="G836" s="713" t="s">
        <v>518</v>
      </c>
      <c r="H836" s="701">
        <v>1623</v>
      </c>
    </row>
    <row r="837" spans="1:8" outlineLevel="1" x14ac:dyDescent="0.2">
      <c r="A837" s="715" t="s">
        <v>1107</v>
      </c>
      <c r="C837" s="712">
        <v>40387</v>
      </c>
      <c r="D837" s="713" t="s">
        <v>1121</v>
      </c>
      <c r="E837" s="718" t="s">
        <v>2105</v>
      </c>
      <c r="F837" s="718" t="s">
        <v>1107</v>
      </c>
      <c r="G837" s="718" t="s">
        <v>518</v>
      </c>
      <c r="H837" s="719">
        <v>1556</v>
      </c>
    </row>
    <row r="838" spans="1:8" outlineLevel="1" x14ac:dyDescent="0.2">
      <c r="A838" s="715"/>
      <c r="C838" s="712">
        <v>40387</v>
      </c>
      <c r="D838" s="718" t="s">
        <v>2106</v>
      </c>
      <c r="E838" s="718" t="s">
        <v>2100</v>
      </c>
      <c r="F838" s="718" t="s">
        <v>1107</v>
      </c>
      <c r="G838" s="718" t="s">
        <v>518</v>
      </c>
      <c r="H838" s="719">
        <v>17090</v>
      </c>
    </row>
    <row r="839" spans="1:8" outlineLevel="1" x14ac:dyDescent="0.2">
      <c r="A839" s="715"/>
      <c r="C839" s="712">
        <v>40387</v>
      </c>
      <c r="D839" s="718" t="s">
        <v>103</v>
      </c>
      <c r="E839" s="718" t="s">
        <v>2107</v>
      </c>
      <c r="F839" s="718" t="s">
        <v>1107</v>
      </c>
      <c r="G839" s="718" t="s">
        <v>518</v>
      </c>
      <c r="H839" s="701">
        <v>3030</v>
      </c>
    </row>
    <row r="840" spans="1:8" outlineLevel="1" x14ac:dyDescent="0.2">
      <c r="A840" s="715"/>
      <c r="C840" s="712">
        <v>40387</v>
      </c>
      <c r="D840" s="718" t="s">
        <v>1734</v>
      </c>
      <c r="E840" s="718" t="s">
        <v>2108</v>
      </c>
      <c r="F840" s="713" t="s">
        <v>1977</v>
      </c>
      <c r="G840" s="718"/>
      <c r="H840" s="719">
        <v>3500</v>
      </c>
    </row>
    <row r="841" spans="1:8" outlineLevel="1" x14ac:dyDescent="0.2">
      <c r="A841" s="715" t="s">
        <v>1107</v>
      </c>
      <c r="C841" s="712">
        <v>40388</v>
      </c>
      <c r="D841" s="713" t="s">
        <v>1960</v>
      </c>
      <c r="E841" s="713" t="s">
        <v>2123</v>
      </c>
      <c r="F841" s="713" t="s">
        <v>631</v>
      </c>
      <c r="G841" s="713" t="s">
        <v>518</v>
      </c>
      <c r="H841" s="701">
        <v>24000</v>
      </c>
    </row>
    <row r="842" spans="1:8" outlineLevel="1" x14ac:dyDescent="0.2">
      <c r="A842" s="715" t="s">
        <v>1107</v>
      </c>
      <c r="C842" s="712">
        <v>40389</v>
      </c>
      <c r="D842" s="718" t="s">
        <v>2101</v>
      </c>
      <c r="E842" s="718" t="s">
        <v>2100</v>
      </c>
      <c r="F842" s="718" t="s">
        <v>1107</v>
      </c>
      <c r="G842" s="718" t="s">
        <v>518</v>
      </c>
      <c r="H842" s="719">
        <v>43805</v>
      </c>
    </row>
    <row r="843" spans="1:8" outlineLevel="1" x14ac:dyDescent="0.2">
      <c r="A843" s="715"/>
      <c r="C843" s="712">
        <v>40389</v>
      </c>
      <c r="D843" s="718" t="s">
        <v>103</v>
      </c>
      <c r="E843" s="718" t="s">
        <v>2119</v>
      </c>
      <c r="F843" s="718" t="s">
        <v>1107</v>
      </c>
      <c r="G843" s="718" t="s">
        <v>518</v>
      </c>
      <c r="H843" s="701">
        <v>3000</v>
      </c>
    </row>
    <row r="844" spans="1:8" outlineLevel="1" x14ac:dyDescent="0.2">
      <c r="A844" s="715"/>
      <c r="C844" s="712">
        <v>40389</v>
      </c>
      <c r="D844" s="718" t="s">
        <v>103</v>
      </c>
      <c r="E844" s="718" t="s">
        <v>2120</v>
      </c>
      <c r="F844" s="718" t="s">
        <v>1653</v>
      </c>
      <c r="G844" s="718" t="s">
        <v>518</v>
      </c>
      <c r="H844" s="701">
        <v>1590</v>
      </c>
    </row>
    <row r="845" spans="1:8" outlineLevel="1" x14ac:dyDescent="0.2">
      <c r="A845" s="715" t="s">
        <v>1107</v>
      </c>
      <c r="C845" s="712">
        <v>40390</v>
      </c>
    </row>
    <row r="846" spans="1:8" outlineLevel="1" x14ac:dyDescent="0.2">
      <c r="A846" s="715" t="s">
        <v>1107</v>
      </c>
      <c r="C846" s="712">
        <v>40391</v>
      </c>
      <c r="D846" s="718" t="s">
        <v>1120</v>
      </c>
      <c r="E846" s="718" t="s">
        <v>2141</v>
      </c>
      <c r="F846" s="718" t="s">
        <v>1107</v>
      </c>
      <c r="G846" s="718" t="s">
        <v>518</v>
      </c>
      <c r="H846" s="719">
        <v>1490</v>
      </c>
    </row>
    <row r="847" spans="1:8" outlineLevel="1" x14ac:dyDescent="0.2">
      <c r="A847" s="715"/>
      <c r="C847" s="712">
        <v>40391</v>
      </c>
      <c r="D847" s="718" t="s">
        <v>1120</v>
      </c>
      <c r="E847" s="718" t="s">
        <v>2081</v>
      </c>
      <c r="F847" s="713" t="s">
        <v>1653</v>
      </c>
      <c r="G847" s="718" t="s">
        <v>518</v>
      </c>
      <c r="H847" s="719">
        <v>780</v>
      </c>
    </row>
    <row r="848" spans="1:8" outlineLevel="1" x14ac:dyDescent="0.2">
      <c r="A848" s="715" t="s">
        <v>1107</v>
      </c>
      <c r="C848" s="712">
        <v>40392</v>
      </c>
      <c r="D848" s="718" t="s">
        <v>2101</v>
      </c>
      <c r="E848" s="718" t="s">
        <v>2100</v>
      </c>
      <c r="F848" s="718" t="s">
        <v>1107</v>
      </c>
      <c r="G848" s="718" t="s">
        <v>518</v>
      </c>
      <c r="H848" s="719">
        <v>2215</v>
      </c>
    </row>
    <row r="849" spans="1:10" outlineLevel="1" x14ac:dyDescent="0.2">
      <c r="A849" s="715"/>
      <c r="C849" s="712">
        <v>40392</v>
      </c>
      <c r="D849" s="718" t="s">
        <v>2142</v>
      </c>
      <c r="E849" s="718" t="s">
        <v>2143</v>
      </c>
      <c r="F849" s="718" t="s">
        <v>1653</v>
      </c>
      <c r="G849" s="718"/>
      <c r="H849" s="719">
        <v>900</v>
      </c>
    </row>
    <row r="850" spans="1:10" outlineLevel="1" x14ac:dyDescent="0.2">
      <c r="A850" s="715"/>
      <c r="C850" s="712">
        <v>40392</v>
      </c>
      <c r="D850" s="713" t="s">
        <v>1976</v>
      </c>
      <c r="E850" s="713" t="s">
        <v>2146</v>
      </c>
      <c r="F850" s="713" t="s">
        <v>1824</v>
      </c>
      <c r="G850" s="713" t="s">
        <v>518</v>
      </c>
      <c r="H850" s="701">
        <v>30470</v>
      </c>
      <c r="J850" s="599"/>
    </row>
    <row r="851" spans="1:10" outlineLevel="1" x14ac:dyDescent="0.2">
      <c r="A851" s="715"/>
      <c r="C851" s="712">
        <v>40392</v>
      </c>
      <c r="D851" s="718" t="s">
        <v>2144</v>
      </c>
      <c r="E851" s="718" t="s">
        <v>2145</v>
      </c>
      <c r="F851" s="713" t="s">
        <v>1824</v>
      </c>
      <c r="G851" s="718"/>
      <c r="H851" s="719">
        <v>2100</v>
      </c>
      <c r="J851" s="599"/>
    </row>
    <row r="852" spans="1:10" outlineLevel="1" x14ac:dyDescent="0.2">
      <c r="A852" s="715" t="s">
        <v>1824</v>
      </c>
      <c r="C852" s="712">
        <v>40393</v>
      </c>
      <c r="D852" s="718" t="s">
        <v>2147</v>
      </c>
      <c r="E852" s="718" t="s">
        <v>2148</v>
      </c>
      <c r="F852" s="713" t="s">
        <v>1824</v>
      </c>
      <c r="G852" s="718" t="s">
        <v>518</v>
      </c>
      <c r="H852" s="719">
        <v>94385</v>
      </c>
    </row>
    <row r="853" spans="1:10" outlineLevel="1" x14ac:dyDescent="0.2">
      <c r="A853" s="715"/>
      <c r="C853" s="712">
        <v>40393</v>
      </c>
      <c r="D853" s="718" t="s">
        <v>103</v>
      </c>
      <c r="E853" s="718" t="s">
        <v>2149</v>
      </c>
      <c r="F853" s="713" t="s">
        <v>1824</v>
      </c>
      <c r="G853" s="718" t="s">
        <v>518</v>
      </c>
      <c r="H853" s="701">
        <v>5030</v>
      </c>
      <c r="J853" s="599"/>
    </row>
    <row r="854" spans="1:10" outlineLevel="1" x14ac:dyDescent="0.2">
      <c r="A854" s="715"/>
      <c r="C854" s="712">
        <v>40393</v>
      </c>
      <c r="D854" s="718" t="s">
        <v>1308</v>
      </c>
      <c r="E854" s="718" t="s">
        <v>2150</v>
      </c>
      <c r="F854" s="713" t="s">
        <v>1824</v>
      </c>
      <c r="G854" s="718" t="s">
        <v>518</v>
      </c>
      <c r="H854" s="701">
        <v>3800</v>
      </c>
      <c r="J854" s="599"/>
    </row>
    <row r="855" spans="1:10" outlineLevel="1" x14ac:dyDescent="0.2">
      <c r="A855" s="715"/>
      <c r="C855" s="712">
        <v>40393</v>
      </c>
      <c r="D855" s="718" t="s">
        <v>2151</v>
      </c>
      <c r="E855" s="718" t="s">
        <v>2152</v>
      </c>
      <c r="F855" s="713" t="s">
        <v>1824</v>
      </c>
      <c r="G855" s="718"/>
      <c r="H855" s="701">
        <v>50000</v>
      </c>
    </row>
    <row r="856" spans="1:10" outlineLevel="1" x14ac:dyDescent="0.2">
      <c r="A856" s="715" t="s">
        <v>1824</v>
      </c>
      <c r="C856" s="712">
        <v>40394</v>
      </c>
    </row>
    <row r="857" spans="1:10" outlineLevel="1" x14ac:dyDescent="0.2">
      <c r="A857" s="715" t="s">
        <v>1824</v>
      </c>
      <c r="C857" s="712">
        <v>40395</v>
      </c>
      <c r="D857" s="713" t="s">
        <v>474</v>
      </c>
      <c r="E857" s="713" t="s">
        <v>2166</v>
      </c>
      <c r="F857" s="713" t="s">
        <v>1824</v>
      </c>
      <c r="H857" s="701">
        <v>750</v>
      </c>
      <c r="I857" s="620">
        <v>500000</v>
      </c>
      <c r="J857" s="713" t="s">
        <v>316</v>
      </c>
    </row>
    <row r="858" spans="1:10" outlineLevel="1" x14ac:dyDescent="0.2">
      <c r="A858" s="715"/>
      <c r="C858" s="712">
        <v>40395</v>
      </c>
      <c r="D858" s="718" t="s">
        <v>103</v>
      </c>
      <c r="E858" s="713" t="s">
        <v>2167</v>
      </c>
      <c r="F858" s="713" t="s">
        <v>1824</v>
      </c>
      <c r="G858" s="718" t="s">
        <v>518</v>
      </c>
      <c r="H858" s="701">
        <v>2880</v>
      </c>
    </row>
    <row r="859" spans="1:10" outlineLevel="1" x14ac:dyDescent="0.2">
      <c r="A859" s="715"/>
      <c r="C859" s="712">
        <v>40395</v>
      </c>
      <c r="D859" s="718" t="s">
        <v>1308</v>
      </c>
      <c r="E859" s="718" t="s">
        <v>2168</v>
      </c>
      <c r="F859" s="713" t="s">
        <v>646</v>
      </c>
      <c r="G859" s="718" t="s">
        <v>518</v>
      </c>
      <c r="H859" s="701">
        <v>16340</v>
      </c>
    </row>
    <row r="860" spans="1:10" outlineLevel="1" x14ac:dyDescent="0.2">
      <c r="A860" s="715"/>
      <c r="C860" s="712">
        <v>40395</v>
      </c>
      <c r="D860" s="718" t="s">
        <v>1308</v>
      </c>
      <c r="E860" s="718" t="s">
        <v>2169</v>
      </c>
      <c r="F860" s="713" t="s">
        <v>1824</v>
      </c>
      <c r="G860" s="718" t="s">
        <v>518</v>
      </c>
      <c r="H860" s="701">
        <v>58266</v>
      </c>
      <c r="J860" s="599"/>
    </row>
    <row r="861" spans="1:10" outlineLevel="1" x14ac:dyDescent="0.2">
      <c r="A861" s="715"/>
      <c r="C861" s="712">
        <v>40395</v>
      </c>
      <c r="D861" s="718" t="s">
        <v>2171</v>
      </c>
      <c r="E861" s="718" t="s">
        <v>2170</v>
      </c>
      <c r="F861" s="713" t="s">
        <v>646</v>
      </c>
      <c r="G861" s="718" t="s">
        <v>518</v>
      </c>
      <c r="H861" s="701">
        <v>4600</v>
      </c>
      <c r="J861" s="599"/>
    </row>
    <row r="862" spans="1:10" outlineLevel="1" x14ac:dyDescent="0.2">
      <c r="A862" s="715"/>
      <c r="C862" s="712">
        <v>40395</v>
      </c>
      <c r="D862" s="718" t="s">
        <v>2171</v>
      </c>
      <c r="E862" s="718" t="s">
        <v>2174</v>
      </c>
      <c r="F862" s="713" t="s">
        <v>646</v>
      </c>
      <c r="G862" s="718" t="s">
        <v>518</v>
      </c>
      <c r="H862" s="701">
        <v>38500</v>
      </c>
    </row>
    <row r="863" spans="1:10" outlineLevel="1" x14ac:dyDescent="0.2">
      <c r="A863" s="715"/>
      <c r="C863" s="712">
        <v>40395</v>
      </c>
      <c r="D863" s="718" t="s">
        <v>2171</v>
      </c>
      <c r="E863" s="718" t="s">
        <v>2175</v>
      </c>
      <c r="F863" s="713" t="s">
        <v>1824</v>
      </c>
      <c r="G863" s="718" t="s">
        <v>518</v>
      </c>
      <c r="H863" s="701">
        <v>1530</v>
      </c>
      <c r="J863" s="599"/>
    </row>
    <row r="864" spans="1:10" outlineLevel="1" x14ac:dyDescent="0.2">
      <c r="A864" s="715"/>
      <c r="C864" s="712">
        <v>40395</v>
      </c>
      <c r="D864" s="718" t="s">
        <v>2101</v>
      </c>
      <c r="E864" s="718" t="s">
        <v>2172</v>
      </c>
      <c r="F864" s="718" t="s">
        <v>1107</v>
      </c>
      <c r="G864" s="718" t="s">
        <v>518</v>
      </c>
      <c r="H864" s="719">
        <v>22210</v>
      </c>
    </row>
    <row r="865" spans="1:11" outlineLevel="1" x14ac:dyDescent="0.2">
      <c r="A865" s="715"/>
      <c r="C865" s="712">
        <v>40395</v>
      </c>
      <c r="D865" s="718" t="s">
        <v>1656</v>
      </c>
      <c r="E865" s="718" t="s">
        <v>2177</v>
      </c>
      <c r="F865" s="718" t="s">
        <v>1107</v>
      </c>
      <c r="G865" s="718" t="s">
        <v>518</v>
      </c>
      <c r="H865" s="719">
        <v>4760</v>
      </c>
    </row>
    <row r="866" spans="1:11" outlineLevel="1" x14ac:dyDescent="0.2">
      <c r="A866" s="715" t="s">
        <v>1824</v>
      </c>
      <c r="C866" s="712">
        <v>40396</v>
      </c>
      <c r="D866" s="718" t="s">
        <v>1308</v>
      </c>
      <c r="E866" s="718" t="s">
        <v>2181</v>
      </c>
      <c r="F866" s="713" t="s">
        <v>1824</v>
      </c>
      <c r="G866" s="718" t="s">
        <v>518</v>
      </c>
      <c r="H866" s="701">
        <v>11344</v>
      </c>
    </row>
    <row r="867" spans="1:11" outlineLevel="1" x14ac:dyDescent="0.2">
      <c r="A867" s="715"/>
      <c r="C867" s="712">
        <v>40396</v>
      </c>
      <c r="D867" s="718" t="s">
        <v>103</v>
      </c>
      <c r="E867" s="713" t="s">
        <v>2182</v>
      </c>
      <c r="F867" s="713" t="s">
        <v>1824</v>
      </c>
      <c r="G867" s="718" t="s">
        <v>518</v>
      </c>
      <c r="H867" s="701">
        <v>600</v>
      </c>
    </row>
    <row r="868" spans="1:11" outlineLevel="1" x14ac:dyDescent="0.2">
      <c r="A868" s="715" t="s">
        <v>1824</v>
      </c>
      <c r="C868" s="712">
        <v>40397</v>
      </c>
      <c r="D868" s="718" t="s">
        <v>2098</v>
      </c>
      <c r="E868" s="718" t="s">
        <v>2183</v>
      </c>
      <c r="F868" s="713" t="s">
        <v>646</v>
      </c>
      <c r="G868" s="718" t="s">
        <v>518</v>
      </c>
      <c r="H868" s="719">
        <v>104850</v>
      </c>
    </row>
    <row r="869" spans="1:11" outlineLevel="1" x14ac:dyDescent="0.2">
      <c r="A869" s="715"/>
      <c r="C869" s="712">
        <v>40397</v>
      </c>
      <c r="D869" s="718" t="s">
        <v>2151</v>
      </c>
      <c r="E869" s="718" t="s">
        <v>2184</v>
      </c>
      <c r="F869" s="713" t="s">
        <v>1824</v>
      </c>
      <c r="G869" s="718"/>
      <c r="H869" s="701">
        <v>40000</v>
      </c>
    </row>
    <row r="870" spans="1:11" outlineLevel="1" x14ac:dyDescent="0.2">
      <c r="A870" s="715"/>
      <c r="C870" s="712">
        <v>40397</v>
      </c>
      <c r="D870" s="713" t="s">
        <v>1976</v>
      </c>
      <c r="E870" s="713" t="s">
        <v>2146</v>
      </c>
      <c r="F870" s="713" t="s">
        <v>1824</v>
      </c>
      <c r="G870" s="713" t="s">
        <v>518</v>
      </c>
      <c r="H870" s="701">
        <v>8070</v>
      </c>
    </row>
    <row r="871" spans="1:11" outlineLevel="1" x14ac:dyDescent="0.2">
      <c r="A871" s="715"/>
      <c r="C871" s="712">
        <v>40397</v>
      </c>
      <c r="D871" s="718" t="s">
        <v>1656</v>
      </c>
      <c r="E871" s="718" t="s">
        <v>2185</v>
      </c>
      <c r="F871" s="713" t="s">
        <v>646</v>
      </c>
      <c r="G871" s="718" t="s">
        <v>518</v>
      </c>
      <c r="H871" s="719">
        <v>26754</v>
      </c>
    </row>
    <row r="872" spans="1:11" outlineLevel="1" x14ac:dyDescent="0.2">
      <c r="A872" s="715"/>
      <c r="C872" s="712">
        <v>40398</v>
      </c>
    </row>
    <row r="873" spans="1:11" ht="25.5" outlineLevel="1" x14ac:dyDescent="0.2">
      <c r="A873" s="397" t="s">
        <v>2293</v>
      </c>
      <c r="B873" s="397"/>
      <c r="C873" s="712">
        <v>40399</v>
      </c>
      <c r="D873" s="718" t="s">
        <v>2106</v>
      </c>
      <c r="E873" s="718" t="s">
        <v>2037</v>
      </c>
      <c r="F873" s="718" t="s">
        <v>1107</v>
      </c>
      <c r="G873" s="718"/>
      <c r="H873" s="719">
        <v>1600</v>
      </c>
    </row>
    <row r="874" spans="1:11" outlineLevel="1" x14ac:dyDescent="0.2">
      <c r="A874" s="397"/>
      <c r="B874" s="397"/>
      <c r="C874" s="712">
        <v>40399</v>
      </c>
      <c r="D874" s="718" t="s">
        <v>2186</v>
      </c>
      <c r="E874" s="718" t="s">
        <v>2188</v>
      </c>
      <c r="F874" s="718" t="s">
        <v>836</v>
      </c>
      <c r="G874" s="718" t="s">
        <v>518</v>
      </c>
      <c r="H874" s="719">
        <v>5000</v>
      </c>
    </row>
    <row r="875" spans="1:11" s="790" customFormat="1" outlineLevel="1" x14ac:dyDescent="0.2">
      <c r="A875" s="788" t="s">
        <v>646</v>
      </c>
      <c r="B875" s="788"/>
      <c r="C875" s="789">
        <v>40400</v>
      </c>
      <c r="D875" s="790" t="s">
        <v>1976</v>
      </c>
      <c r="E875" s="790" t="s">
        <v>2189</v>
      </c>
      <c r="F875" s="790" t="s">
        <v>1824</v>
      </c>
      <c r="G875" s="790" t="s">
        <v>518</v>
      </c>
      <c r="H875" s="791">
        <v>-13520</v>
      </c>
      <c r="I875" s="822"/>
      <c r="J875" s="823"/>
      <c r="K875" s="611" t="s">
        <v>2957</v>
      </c>
    </row>
    <row r="876" spans="1:11" outlineLevel="1" x14ac:dyDescent="0.2">
      <c r="A876" s="715"/>
      <c r="C876" s="712">
        <v>40400</v>
      </c>
      <c r="D876" s="713" t="s">
        <v>1976</v>
      </c>
      <c r="E876" t="s">
        <v>2313</v>
      </c>
      <c r="F876" s="713" t="s">
        <v>1824</v>
      </c>
      <c r="G876" s="713" t="s">
        <v>518</v>
      </c>
      <c r="H876" s="701">
        <v>10780</v>
      </c>
    </row>
    <row r="877" spans="1:11" outlineLevel="1" x14ac:dyDescent="0.2">
      <c r="A877" s="715"/>
      <c r="C877" s="712">
        <v>40400</v>
      </c>
      <c r="D877" s="713" t="s">
        <v>1976</v>
      </c>
      <c r="E877" t="s">
        <v>2312</v>
      </c>
      <c r="F877" t="s">
        <v>646</v>
      </c>
      <c r="G877" s="713" t="s">
        <v>518</v>
      </c>
      <c r="H877" s="701">
        <v>6120</v>
      </c>
    </row>
    <row r="878" spans="1:11" outlineLevel="1" x14ac:dyDescent="0.2">
      <c r="A878" s="715"/>
      <c r="C878" s="712">
        <v>40400</v>
      </c>
      <c r="D878" s="713" t="s">
        <v>1976</v>
      </c>
      <c r="E878" s="713" t="s">
        <v>2242</v>
      </c>
      <c r="F878" s="713" t="s">
        <v>646</v>
      </c>
      <c r="G878" s="713" t="s">
        <v>518</v>
      </c>
      <c r="H878" s="701">
        <v>2460</v>
      </c>
    </row>
    <row r="879" spans="1:11" outlineLevel="1" x14ac:dyDescent="0.2">
      <c r="A879" s="715"/>
      <c r="C879" s="712">
        <v>40400</v>
      </c>
      <c r="D879" s="718" t="s">
        <v>2142</v>
      </c>
      <c r="E879" s="718" t="s">
        <v>2190</v>
      </c>
      <c r="F879" s="718" t="s">
        <v>1107</v>
      </c>
      <c r="G879" s="718" t="s">
        <v>518</v>
      </c>
      <c r="H879" s="719">
        <v>19750</v>
      </c>
    </row>
    <row r="880" spans="1:11" outlineLevel="1" x14ac:dyDescent="0.2">
      <c r="A880" s="715"/>
      <c r="C880" s="712">
        <v>40400</v>
      </c>
      <c r="D880" s="718" t="s">
        <v>2196</v>
      </c>
      <c r="E880" s="718" t="s">
        <v>2191</v>
      </c>
      <c r="F880" s="713" t="s">
        <v>646</v>
      </c>
      <c r="G880" s="718" t="s">
        <v>518</v>
      </c>
      <c r="H880" s="719">
        <v>3700</v>
      </c>
    </row>
    <row r="881" spans="1:8" outlineLevel="1" x14ac:dyDescent="0.2">
      <c r="A881" s="715"/>
      <c r="C881" s="712">
        <v>40400</v>
      </c>
      <c r="D881" s="718" t="s">
        <v>2101</v>
      </c>
      <c r="E881" s="718" t="s">
        <v>2192</v>
      </c>
      <c r="F881" s="718" t="s">
        <v>1107</v>
      </c>
      <c r="G881" s="718" t="s">
        <v>518</v>
      </c>
      <c r="H881" s="719">
        <v>6880</v>
      </c>
    </row>
    <row r="882" spans="1:8" outlineLevel="1" x14ac:dyDescent="0.2">
      <c r="A882" s="715"/>
      <c r="C882" s="712">
        <v>40400</v>
      </c>
      <c r="D882" s="718" t="s">
        <v>2193</v>
      </c>
      <c r="E882" s="718" t="s">
        <v>2194</v>
      </c>
      <c r="F882" s="718" t="s">
        <v>1107</v>
      </c>
      <c r="G882" s="718" t="s">
        <v>518</v>
      </c>
      <c r="H882" s="719">
        <v>990</v>
      </c>
    </row>
    <row r="883" spans="1:8" outlineLevel="1" x14ac:dyDescent="0.2">
      <c r="A883" s="715"/>
      <c r="C883" s="712">
        <v>40400</v>
      </c>
      <c r="D883" s="713" t="s">
        <v>1815</v>
      </c>
      <c r="E883" s="713" t="s">
        <v>2195</v>
      </c>
      <c r="F883" s="713" t="s">
        <v>646</v>
      </c>
      <c r="G883" s="718" t="s">
        <v>518</v>
      </c>
      <c r="H883" s="701">
        <v>1980</v>
      </c>
    </row>
    <row r="884" spans="1:8" outlineLevel="1" x14ac:dyDescent="0.2">
      <c r="A884" s="715" t="s">
        <v>646</v>
      </c>
      <c r="C884" s="712">
        <v>40401</v>
      </c>
      <c r="D884" s="718" t="s">
        <v>2171</v>
      </c>
      <c r="E884" s="718" t="s">
        <v>2199</v>
      </c>
      <c r="F884" s="713" t="s">
        <v>646</v>
      </c>
      <c r="G884" s="718" t="s">
        <v>518</v>
      </c>
      <c r="H884" s="701">
        <v>39000</v>
      </c>
    </row>
    <row r="885" spans="1:8" outlineLevel="1" x14ac:dyDescent="0.2">
      <c r="A885" s="715"/>
      <c r="C885" s="712">
        <v>40401</v>
      </c>
      <c r="D885" s="718" t="s">
        <v>2196</v>
      </c>
      <c r="E885" s="718" t="s">
        <v>2200</v>
      </c>
      <c r="F885" s="713" t="s">
        <v>646</v>
      </c>
      <c r="G885" s="718" t="s">
        <v>518</v>
      </c>
      <c r="H885" s="719">
        <v>27810</v>
      </c>
    </row>
    <row r="886" spans="1:8" outlineLevel="1" x14ac:dyDescent="0.2">
      <c r="A886" s="715" t="s">
        <v>1824</v>
      </c>
      <c r="C886" s="712">
        <v>40402</v>
      </c>
      <c r="D886" s="718" t="s">
        <v>2204</v>
      </c>
      <c r="E886" s="718" t="s">
        <v>2205</v>
      </c>
      <c r="F886" s="713" t="s">
        <v>646</v>
      </c>
      <c r="G886" s="718" t="s">
        <v>518</v>
      </c>
      <c r="H886" s="719">
        <v>53890</v>
      </c>
    </row>
    <row r="887" spans="1:8" outlineLevel="1" x14ac:dyDescent="0.2">
      <c r="A887" s="715" t="s">
        <v>646</v>
      </c>
      <c r="C887" s="712">
        <v>40402</v>
      </c>
      <c r="D887" s="718" t="s">
        <v>2201</v>
      </c>
      <c r="E887" s="718" t="s">
        <v>2202</v>
      </c>
      <c r="F887" s="713" t="s">
        <v>1166</v>
      </c>
      <c r="H887" s="701">
        <v>145000</v>
      </c>
    </row>
    <row r="888" spans="1:8" outlineLevel="1" x14ac:dyDescent="0.2">
      <c r="A888" s="715"/>
      <c r="C888" s="712">
        <v>40402</v>
      </c>
      <c r="D888" s="718" t="s">
        <v>103</v>
      </c>
      <c r="E888" s="713" t="s">
        <v>2203</v>
      </c>
      <c r="F888" s="718" t="s">
        <v>1653</v>
      </c>
      <c r="G888" s="718" t="s">
        <v>518</v>
      </c>
      <c r="H888" s="701">
        <v>2140</v>
      </c>
    </row>
    <row r="889" spans="1:8" outlineLevel="1" x14ac:dyDescent="0.2">
      <c r="A889" s="715"/>
      <c r="C889" s="712">
        <v>40402</v>
      </c>
      <c r="D889" s="718" t="s">
        <v>2151</v>
      </c>
      <c r="E889" s="718" t="s">
        <v>2184</v>
      </c>
      <c r="F889" s="713" t="s">
        <v>1824</v>
      </c>
      <c r="G889" s="718"/>
      <c r="H889" s="701">
        <v>10000</v>
      </c>
    </row>
    <row r="890" spans="1:8" outlineLevel="1" x14ac:dyDescent="0.2">
      <c r="A890" s="715" t="s">
        <v>646</v>
      </c>
      <c r="C890" s="712">
        <v>40403</v>
      </c>
    </row>
    <row r="891" spans="1:8" outlineLevel="1" x14ac:dyDescent="0.2">
      <c r="A891" s="715"/>
      <c r="C891" s="712">
        <v>40404</v>
      </c>
    </row>
    <row r="892" spans="1:8" outlineLevel="1" x14ac:dyDescent="0.2">
      <c r="A892" s="715" t="s">
        <v>2214</v>
      </c>
      <c r="C892" s="712">
        <v>40405</v>
      </c>
      <c r="D892" s="713" t="s">
        <v>1960</v>
      </c>
      <c r="E892" s="713" t="s">
        <v>2213</v>
      </c>
      <c r="F892" s="713" t="s">
        <v>631</v>
      </c>
      <c r="G892" s="713" t="s">
        <v>518</v>
      </c>
      <c r="H892" s="701">
        <v>3200</v>
      </c>
    </row>
    <row r="893" spans="1:8" outlineLevel="1" x14ac:dyDescent="0.2">
      <c r="A893" s="715" t="s">
        <v>646</v>
      </c>
      <c r="C893" s="712">
        <v>40406</v>
      </c>
      <c r="D893" s="713" t="s">
        <v>2229</v>
      </c>
      <c r="E893" s="713" t="s">
        <v>2230</v>
      </c>
      <c r="F893" s="718" t="s">
        <v>836</v>
      </c>
      <c r="H893" s="701">
        <v>5000</v>
      </c>
    </row>
    <row r="894" spans="1:8" outlineLevel="1" x14ac:dyDescent="0.2">
      <c r="A894" s="715"/>
      <c r="C894" s="712">
        <v>40406</v>
      </c>
      <c r="D894" s="713" t="s">
        <v>125</v>
      </c>
      <c r="E894" t="s">
        <v>2409</v>
      </c>
      <c r="F894" t="s">
        <v>952</v>
      </c>
      <c r="H894" s="701">
        <v>8900</v>
      </c>
    </row>
    <row r="895" spans="1:8" outlineLevel="1" x14ac:dyDescent="0.2">
      <c r="A895" s="715" t="s">
        <v>646</v>
      </c>
      <c r="C895" s="712">
        <v>40407</v>
      </c>
      <c r="H895" s="713"/>
    </row>
    <row r="896" spans="1:8" outlineLevel="1" x14ac:dyDescent="0.2">
      <c r="A896" s="715" t="s">
        <v>646</v>
      </c>
      <c r="C896" s="712">
        <v>40408</v>
      </c>
      <c r="D896" s="713" t="s">
        <v>474</v>
      </c>
      <c r="E896" s="713" t="s">
        <v>2217</v>
      </c>
      <c r="F896" s="718" t="s">
        <v>1653</v>
      </c>
      <c r="H896" s="701">
        <v>2700</v>
      </c>
    </row>
    <row r="897" spans="1:11" outlineLevel="1" x14ac:dyDescent="0.2">
      <c r="A897" s="715" t="s">
        <v>437</v>
      </c>
      <c r="C897" s="712">
        <v>40408</v>
      </c>
      <c r="D897" s="713" t="s">
        <v>1815</v>
      </c>
      <c r="E897" s="713" t="s">
        <v>2218</v>
      </c>
      <c r="F897" s="713" t="s">
        <v>437</v>
      </c>
      <c r="G897" s="718"/>
      <c r="H897" s="701">
        <v>9000</v>
      </c>
    </row>
    <row r="898" spans="1:11" outlineLevel="1" x14ac:dyDescent="0.2">
      <c r="A898" s="715"/>
      <c r="C898" s="712">
        <v>40408</v>
      </c>
      <c r="D898" s="713" t="s">
        <v>1815</v>
      </c>
      <c r="E898" s="713" t="s">
        <v>2219</v>
      </c>
      <c r="F898" s="713" t="s">
        <v>646</v>
      </c>
      <c r="G898" s="718"/>
      <c r="H898" s="701">
        <v>2000</v>
      </c>
    </row>
    <row r="899" spans="1:11" outlineLevel="1" x14ac:dyDescent="0.2">
      <c r="A899" s="715"/>
      <c r="C899" s="712">
        <v>40408</v>
      </c>
      <c r="D899" s="718" t="s">
        <v>1308</v>
      </c>
      <c r="E899" s="718" t="s">
        <v>2220</v>
      </c>
      <c r="F899" s="713" t="s">
        <v>646</v>
      </c>
      <c r="G899" s="718" t="s">
        <v>518</v>
      </c>
      <c r="H899" s="701">
        <v>5948</v>
      </c>
    </row>
    <row r="900" spans="1:11" outlineLevel="1" x14ac:dyDescent="0.2">
      <c r="A900" s="715"/>
      <c r="C900" s="712">
        <v>40408</v>
      </c>
      <c r="D900" s="718" t="s">
        <v>2196</v>
      </c>
      <c r="E900" s="718" t="s">
        <v>2225</v>
      </c>
      <c r="F900" s="713" t="s">
        <v>646</v>
      </c>
      <c r="G900" s="718"/>
      <c r="H900" s="719">
        <v>22000</v>
      </c>
    </row>
    <row r="901" spans="1:11" outlineLevel="1" x14ac:dyDescent="0.2">
      <c r="A901" s="715"/>
      <c r="C901" s="712">
        <v>40408</v>
      </c>
      <c r="D901" s="713" t="s">
        <v>1960</v>
      </c>
      <c r="E901" s="713" t="s">
        <v>2221</v>
      </c>
      <c r="F901" s="713" t="s">
        <v>631</v>
      </c>
      <c r="G901" s="713" t="s">
        <v>518</v>
      </c>
      <c r="H901" s="701">
        <v>59900</v>
      </c>
    </row>
    <row r="902" spans="1:11" outlineLevel="1" x14ac:dyDescent="0.2">
      <c r="A902" s="715"/>
      <c r="C902" s="712">
        <v>40408</v>
      </c>
      <c r="D902" s="713" t="s">
        <v>1960</v>
      </c>
      <c r="E902" s="713" t="s">
        <v>2223</v>
      </c>
      <c r="F902" s="713" t="s">
        <v>2222</v>
      </c>
      <c r="G902" s="713" t="s">
        <v>518</v>
      </c>
      <c r="H902" s="701">
        <v>10990</v>
      </c>
    </row>
    <row r="903" spans="1:11" outlineLevel="1" x14ac:dyDescent="0.2">
      <c r="A903" s="715"/>
      <c r="C903" s="712">
        <v>40408</v>
      </c>
      <c r="D903" s="713" t="s">
        <v>1960</v>
      </c>
      <c r="E903" s="713" t="s">
        <v>2224</v>
      </c>
      <c r="F903" t="s">
        <v>2436</v>
      </c>
      <c r="G903" s="713" t="s">
        <v>518</v>
      </c>
      <c r="H903" s="701">
        <v>1980</v>
      </c>
    </row>
    <row r="904" spans="1:11" outlineLevel="1" x14ac:dyDescent="0.2">
      <c r="A904" s="715"/>
      <c r="C904" s="712">
        <v>40408</v>
      </c>
      <c r="D904" s="713" t="s">
        <v>2226</v>
      </c>
      <c r="E904" s="713" t="s">
        <v>2227</v>
      </c>
      <c r="F904" s="713" t="s">
        <v>1262</v>
      </c>
      <c r="H904" s="701">
        <v>20000</v>
      </c>
    </row>
    <row r="905" spans="1:11" outlineLevel="1" x14ac:dyDescent="0.2">
      <c r="A905" s="715"/>
      <c r="C905" s="712">
        <v>40408</v>
      </c>
      <c r="D905" s="713" t="s">
        <v>1815</v>
      </c>
      <c r="E905" s="713" t="s">
        <v>2228</v>
      </c>
      <c r="F905" s="718" t="s">
        <v>836</v>
      </c>
      <c r="H905" s="701">
        <v>17500</v>
      </c>
    </row>
    <row r="906" spans="1:11" s="790" customFormat="1" outlineLevel="1" x14ac:dyDescent="0.2">
      <c r="A906" s="788" t="s">
        <v>437</v>
      </c>
      <c r="B906" s="788"/>
      <c r="C906" s="789">
        <v>40409</v>
      </c>
      <c r="D906" s="790" t="s">
        <v>1976</v>
      </c>
      <c r="E906" s="790" t="s">
        <v>2243</v>
      </c>
      <c r="F906" s="790" t="s">
        <v>646</v>
      </c>
      <c r="G906" s="790" t="s">
        <v>518</v>
      </c>
      <c r="H906" s="791">
        <v>-6120</v>
      </c>
      <c r="I906" s="822"/>
      <c r="J906" s="823"/>
      <c r="K906" s="611" t="s">
        <v>2957</v>
      </c>
    </row>
    <row r="907" spans="1:11" outlineLevel="1" x14ac:dyDescent="0.2">
      <c r="A907" s="715" t="s">
        <v>646</v>
      </c>
      <c r="C907" s="712">
        <v>40409</v>
      </c>
      <c r="D907" s="713" t="s">
        <v>1976</v>
      </c>
      <c r="E907" s="713" t="s">
        <v>2244</v>
      </c>
      <c r="F907" s="713" t="s">
        <v>437</v>
      </c>
      <c r="G907" s="713" t="s">
        <v>518</v>
      </c>
      <c r="H907" s="701">
        <v>14340</v>
      </c>
    </row>
    <row r="908" spans="1:11" outlineLevel="1" x14ac:dyDescent="0.2">
      <c r="A908" s="715"/>
      <c r="C908" s="712">
        <v>40409</v>
      </c>
      <c r="D908" s="718" t="s">
        <v>2246</v>
      </c>
      <c r="E908" s="718" t="s">
        <v>2247</v>
      </c>
      <c r="F908" s="713" t="s">
        <v>836</v>
      </c>
      <c r="G908" s="718"/>
      <c r="H908" s="719">
        <v>2500</v>
      </c>
    </row>
    <row r="909" spans="1:11" outlineLevel="1" x14ac:dyDescent="0.2">
      <c r="A909" s="715"/>
      <c r="C909" s="712">
        <v>40409</v>
      </c>
      <c r="D909" s="718" t="s">
        <v>1656</v>
      </c>
      <c r="E909" s="718" t="s">
        <v>2245</v>
      </c>
      <c r="F909" s="713" t="s">
        <v>836</v>
      </c>
      <c r="G909" s="718" t="s">
        <v>518</v>
      </c>
      <c r="H909" s="719">
        <v>2660</v>
      </c>
    </row>
    <row r="910" spans="1:11" outlineLevel="1" x14ac:dyDescent="0.2">
      <c r="A910" s="715"/>
      <c r="C910" s="712">
        <v>40409</v>
      </c>
      <c r="D910" s="718" t="s">
        <v>1656</v>
      </c>
      <c r="E910" s="718" t="s">
        <v>2248</v>
      </c>
      <c r="F910" s="713" t="s">
        <v>437</v>
      </c>
      <c r="G910" s="718" t="s">
        <v>518</v>
      </c>
      <c r="H910" s="719">
        <v>1440</v>
      </c>
    </row>
    <row r="911" spans="1:11" outlineLevel="1" x14ac:dyDescent="0.2">
      <c r="A911" s="715"/>
      <c r="C911" s="712">
        <v>40409</v>
      </c>
      <c r="D911" s="718" t="s">
        <v>1656</v>
      </c>
      <c r="E911" s="339" t="s">
        <v>2323</v>
      </c>
      <c r="F911" s="718" t="s">
        <v>1107</v>
      </c>
      <c r="G911" s="718" t="s">
        <v>518</v>
      </c>
      <c r="H911" s="719">
        <v>3340</v>
      </c>
    </row>
    <row r="912" spans="1:11" outlineLevel="1" x14ac:dyDescent="0.2">
      <c r="A912" s="715"/>
      <c r="C912" s="712">
        <v>40409</v>
      </c>
      <c r="D912" s="718" t="s">
        <v>2204</v>
      </c>
      <c r="E912" s="718" t="s">
        <v>2256</v>
      </c>
      <c r="F912" s="713" t="s">
        <v>646</v>
      </c>
      <c r="G912" s="718" t="s">
        <v>518</v>
      </c>
      <c r="H912" s="719">
        <v>21110</v>
      </c>
    </row>
    <row r="913" spans="1:10" ht="38.25" outlineLevel="1" x14ac:dyDescent="0.2">
      <c r="A913" s="715" t="s">
        <v>2255</v>
      </c>
      <c r="C913" s="712">
        <v>40410</v>
      </c>
      <c r="D913" s="713" t="s">
        <v>975</v>
      </c>
      <c r="E913" s="713" t="s">
        <v>2253</v>
      </c>
      <c r="F913" s="713" t="s">
        <v>1166</v>
      </c>
      <c r="H913" s="701">
        <v>400000</v>
      </c>
    </row>
    <row r="914" spans="1:10" outlineLevel="1" x14ac:dyDescent="0.2">
      <c r="A914" s="715"/>
      <c r="C914" s="712">
        <v>40410</v>
      </c>
      <c r="D914" s="713" t="s">
        <v>2226</v>
      </c>
      <c r="E914" s="713" t="s">
        <v>2227</v>
      </c>
      <c r="F914" s="713" t="s">
        <v>1262</v>
      </c>
      <c r="H914" s="701">
        <v>5000</v>
      </c>
    </row>
    <row r="915" spans="1:10" ht="25.5" outlineLevel="1" x14ac:dyDescent="0.2">
      <c r="A915" s="715" t="s">
        <v>2254</v>
      </c>
      <c r="C915" s="712">
        <v>40411</v>
      </c>
    </row>
    <row r="916" spans="1:10" outlineLevel="1" x14ac:dyDescent="0.2">
      <c r="A916" s="715" t="s">
        <v>437</v>
      </c>
      <c r="C916" s="712">
        <v>40412</v>
      </c>
    </row>
    <row r="917" spans="1:10" outlineLevel="1" x14ac:dyDescent="0.2">
      <c r="A917" s="715" t="s">
        <v>437</v>
      </c>
      <c r="C917" s="712">
        <v>40413</v>
      </c>
      <c r="D917" s="713" t="s">
        <v>2229</v>
      </c>
      <c r="E917" s="713" t="s">
        <v>2258</v>
      </c>
      <c r="F917" s="718" t="s">
        <v>1653</v>
      </c>
      <c r="G917" s="718" t="s">
        <v>518</v>
      </c>
      <c r="H917" s="701">
        <v>5800</v>
      </c>
    </row>
    <row r="918" spans="1:10" outlineLevel="1" x14ac:dyDescent="0.2">
      <c r="A918" s="715"/>
      <c r="C918" s="712">
        <v>40413</v>
      </c>
      <c r="D918" s="718" t="s">
        <v>1656</v>
      </c>
      <c r="E918" s="718" t="s">
        <v>2259</v>
      </c>
      <c r="F918" s="713" t="s">
        <v>437</v>
      </c>
      <c r="G918" s="718" t="s">
        <v>518</v>
      </c>
      <c r="H918" s="719">
        <v>1580</v>
      </c>
    </row>
    <row r="919" spans="1:10" outlineLevel="1" x14ac:dyDescent="0.2">
      <c r="A919" s="715"/>
      <c r="C919" s="712">
        <v>40413</v>
      </c>
      <c r="D919" s="718" t="s">
        <v>1656</v>
      </c>
      <c r="E919" s="718" t="s">
        <v>2260</v>
      </c>
      <c r="F919" s="718" t="s">
        <v>1653</v>
      </c>
      <c r="G919" s="718" t="s">
        <v>518</v>
      </c>
      <c r="H919" s="719">
        <v>2070</v>
      </c>
      <c r="I919" s="617">
        <v>200000</v>
      </c>
      <c r="J919" s="600" t="s">
        <v>591</v>
      </c>
    </row>
    <row r="920" spans="1:10" outlineLevel="1" x14ac:dyDescent="0.2">
      <c r="A920" s="715" t="s">
        <v>437</v>
      </c>
      <c r="C920" s="712">
        <v>40414</v>
      </c>
      <c r="D920" t="s">
        <v>2304</v>
      </c>
      <c r="E920" t="s">
        <v>646</v>
      </c>
      <c r="F920" t="s">
        <v>646</v>
      </c>
      <c r="H920" s="701">
        <v>230000</v>
      </c>
    </row>
    <row r="921" spans="1:10" outlineLevel="1" x14ac:dyDescent="0.2">
      <c r="A921" s="715" t="s">
        <v>1824</v>
      </c>
      <c r="C921" s="712">
        <v>40414</v>
      </c>
      <c r="D921" s="713" t="s">
        <v>1976</v>
      </c>
      <c r="E921" t="s">
        <v>2305</v>
      </c>
      <c r="F921" s="713" t="s">
        <v>437</v>
      </c>
      <c r="G921" s="713" t="s">
        <v>518</v>
      </c>
      <c r="H921" s="701">
        <v>19300</v>
      </c>
    </row>
    <row r="922" spans="1:10" outlineLevel="1" x14ac:dyDescent="0.2">
      <c r="A922" s="715"/>
      <c r="C922" s="712">
        <v>40414</v>
      </c>
      <c r="D922" s="713" t="s">
        <v>1976</v>
      </c>
      <c r="E922" t="s">
        <v>2306</v>
      </c>
      <c r="F922" t="s">
        <v>1824</v>
      </c>
      <c r="G922" s="713" t="s">
        <v>518</v>
      </c>
      <c r="H922" s="701">
        <v>1000</v>
      </c>
    </row>
    <row r="923" spans="1:10" s="718" customFormat="1" outlineLevel="1" x14ac:dyDescent="0.2">
      <c r="A923" s="716"/>
      <c r="B923" s="716"/>
      <c r="C923" s="717">
        <v>40414</v>
      </c>
      <c r="D923" s="339" t="s">
        <v>2307</v>
      </c>
      <c r="E923" s="339" t="s">
        <v>2308</v>
      </c>
      <c r="F923" s="718" t="s">
        <v>576</v>
      </c>
      <c r="G923" s="718" t="s">
        <v>518</v>
      </c>
      <c r="H923" s="719">
        <v>6770</v>
      </c>
      <c r="I923" s="809"/>
      <c r="J923" s="810"/>
    </row>
    <row r="924" spans="1:10" outlineLevel="1" x14ac:dyDescent="0.2">
      <c r="A924" s="715" t="s">
        <v>437</v>
      </c>
      <c r="C924" s="712">
        <v>40415</v>
      </c>
      <c r="D924" s="713" t="s">
        <v>1976</v>
      </c>
      <c r="E924" t="s">
        <v>2309</v>
      </c>
      <c r="F924" s="713" t="s">
        <v>437</v>
      </c>
      <c r="G924" s="713" t="s">
        <v>518</v>
      </c>
      <c r="H924" s="701">
        <v>8600</v>
      </c>
    </row>
    <row r="925" spans="1:10" outlineLevel="1" x14ac:dyDescent="0.2">
      <c r="A925" s="715" t="s">
        <v>1824</v>
      </c>
      <c r="C925" s="712">
        <v>40415</v>
      </c>
      <c r="D925" s="718" t="s">
        <v>103</v>
      </c>
      <c r="E925" t="s">
        <v>2310</v>
      </c>
      <c r="F925" s="339" t="s">
        <v>1824</v>
      </c>
      <c r="G925" s="718" t="s">
        <v>518</v>
      </c>
      <c r="H925" s="701">
        <v>2190</v>
      </c>
    </row>
    <row r="926" spans="1:10" outlineLevel="1" x14ac:dyDescent="0.2">
      <c r="A926" s="715"/>
      <c r="C926" s="712">
        <v>40415</v>
      </c>
      <c r="D926" s="718" t="s">
        <v>1308</v>
      </c>
      <c r="E926" s="339" t="s">
        <v>2311</v>
      </c>
      <c r="F926" s="713" t="s">
        <v>1824</v>
      </c>
      <c r="G926" s="718" t="s">
        <v>518</v>
      </c>
      <c r="H926" s="701">
        <v>10688</v>
      </c>
    </row>
    <row r="927" spans="1:10" outlineLevel="1" x14ac:dyDescent="0.2">
      <c r="A927" s="715"/>
      <c r="C927" s="712">
        <v>40415</v>
      </c>
      <c r="D927" s="339" t="s">
        <v>2316</v>
      </c>
      <c r="E927" s="339" t="s">
        <v>2322</v>
      </c>
      <c r="F927" s="713" t="s">
        <v>1824</v>
      </c>
      <c r="G927" s="718"/>
      <c r="H927" s="701">
        <v>3400</v>
      </c>
    </row>
    <row r="928" spans="1:10" outlineLevel="1" x14ac:dyDescent="0.2">
      <c r="A928" s="715"/>
      <c r="C928" s="712">
        <v>40415</v>
      </c>
      <c r="D928" s="339" t="s">
        <v>2316</v>
      </c>
      <c r="E928" s="339" t="s">
        <v>2321</v>
      </c>
      <c r="F928" t="s">
        <v>437</v>
      </c>
      <c r="G928" s="718"/>
      <c r="H928" s="701">
        <v>1600</v>
      </c>
    </row>
    <row r="929" spans="1:8" outlineLevel="1" x14ac:dyDescent="0.2">
      <c r="A929" s="397"/>
      <c r="B929" s="397"/>
      <c r="C929" s="712">
        <v>40416</v>
      </c>
      <c r="D929" s="713" t="s">
        <v>125</v>
      </c>
      <c r="E929" t="s">
        <v>2410</v>
      </c>
      <c r="F929" t="s">
        <v>952</v>
      </c>
      <c r="H929" s="701">
        <v>18000</v>
      </c>
    </row>
    <row r="930" spans="1:8" outlineLevel="1" x14ac:dyDescent="0.2">
      <c r="A930" s="397" t="s">
        <v>437</v>
      </c>
      <c r="B930" s="397"/>
      <c r="C930" s="712">
        <v>40417</v>
      </c>
    </row>
    <row r="931" spans="1:8" outlineLevel="1" x14ac:dyDescent="0.2">
      <c r="A931" s="715"/>
      <c r="C931" s="712">
        <v>40418</v>
      </c>
      <c r="D931" s="718" t="s">
        <v>473</v>
      </c>
      <c r="E931" s="339" t="s">
        <v>2319</v>
      </c>
      <c r="F931" s="718" t="s">
        <v>102</v>
      </c>
      <c r="G931" s="718" t="s">
        <v>518</v>
      </c>
      <c r="H931" s="719">
        <v>19950</v>
      </c>
    </row>
    <row r="932" spans="1:8" outlineLevel="1" x14ac:dyDescent="0.2">
      <c r="A932" s="715"/>
      <c r="C932" s="712">
        <v>40418</v>
      </c>
      <c r="D932" s="713" t="s">
        <v>2229</v>
      </c>
      <c r="E932" t="s">
        <v>2320</v>
      </c>
      <c r="F932" s="718" t="s">
        <v>1653</v>
      </c>
      <c r="G932" s="718"/>
      <c r="H932" s="701">
        <v>800</v>
      </c>
    </row>
    <row r="933" spans="1:8" outlineLevel="1" x14ac:dyDescent="0.2">
      <c r="A933" s="397" t="s">
        <v>1128</v>
      </c>
      <c r="B933" s="397"/>
      <c r="C933" s="712">
        <v>40419</v>
      </c>
      <c r="D933" t="s">
        <v>254</v>
      </c>
      <c r="E933" t="s">
        <v>2324</v>
      </c>
      <c r="F933" s="339" t="s">
        <v>1128</v>
      </c>
      <c r="G933" s="718"/>
      <c r="H933" s="701">
        <v>100000</v>
      </c>
    </row>
    <row r="934" spans="1:8" outlineLevel="1" x14ac:dyDescent="0.2">
      <c r="A934" s="397" t="s">
        <v>437</v>
      </c>
      <c r="B934" s="397"/>
      <c r="C934" s="712">
        <v>40420</v>
      </c>
      <c r="D934" s="713" t="s">
        <v>1976</v>
      </c>
      <c r="E934" t="s">
        <v>2417</v>
      </c>
      <c r="F934" s="713" t="s">
        <v>437</v>
      </c>
      <c r="G934" s="713" t="s">
        <v>518</v>
      </c>
      <c r="H934" s="701">
        <v>34740</v>
      </c>
    </row>
    <row r="935" spans="1:8" outlineLevel="1" x14ac:dyDescent="0.2">
      <c r="A935" s="397"/>
      <c r="B935" s="397"/>
      <c r="C935" s="712">
        <v>40420</v>
      </c>
      <c r="D935" s="713" t="s">
        <v>1815</v>
      </c>
      <c r="E935" t="s">
        <v>2334</v>
      </c>
      <c r="F935" s="713" t="s">
        <v>437</v>
      </c>
      <c r="G935" s="713" t="s">
        <v>518</v>
      </c>
      <c r="H935" s="701">
        <v>5240</v>
      </c>
    </row>
    <row r="936" spans="1:8" outlineLevel="1" x14ac:dyDescent="0.2">
      <c r="A936" s="397"/>
      <c r="B936" s="397"/>
      <c r="C936" s="712">
        <v>40421</v>
      </c>
      <c r="D936" s="713" t="s">
        <v>1815</v>
      </c>
      <c r="E936" t="s">
        <v>2333</v>
      </c>
      <c r="F936" t="s">
        <v>1128</v>
      </c>
      <c r="G936" s="713" t="s">
        <v>518</v>
      </c>
      <c r="H936" s="701">
        <v>950</v>
      </c>
    </row>
    <row r="937" spans="1:8" outlineLevel="1" x14ac:dyDescent="0.2">
      <c r="A937" s="397"/>
      <c r="B937" s="397"/>
      <c r="C937" s="712">
        <v>40420</v>
      </c>
      <c r="D937" t="s">
        <v>2332</v>
      </c>
      <c r="E937" t="s">
        <v>2335</v>
      </c>
      <c r="F937" t="s">
        <v>2436</v>
      </c>
      <c r="H937" s="701">
        <v>2000</v>
      </c>
    </row>
    <row r="938" spans="1:8" outlineLevel="1" x14ac:dyDescent="0.2">
      <c r="A938" s="397" t="s">
        <v>437</v>
      </c>
      <c r="B938" s="397"/>
      <c r="C938" s="712">
        <v>40421</v>
      </c>
      <c r="D938" t="s">
        <v>254</v>
      </c>
      <c r="E938" t="s">
        <v>2337</v>
      </c>
      <c r="F938" s="339" t="s">
        <v>1128</v>
      </c>
      <c r="G938" s="718"/>
      <c r="H938" s="701">
        <v>90000</v>
      </c>
    </row>
    <row r="939" spans="1:8" outlineLevel="1" x14ac:dyDescent="0.2">
      <c r="A939" s="715"/>
      <c r="C939" s="712">
        <v>40421</v>
      </c>
      <c r="D939" s="713" t="s">
        <v>647</v>
      </c>
      <c r="E939" t="s">
        <v>2338</v>
      </c>
      <c r="F939" s="713" t="s">
        <v>646</v>
      </c>
      <c r="G939" s="718" t="s">
        <v>518</v>
      </c>
      <c r="H939" s="701">
        <v>85600</v>
      </c>
    </row>
    <row r="940" spans="1:8" outlineLevel="1" x14ac:dyDescent="0.2">
      <c r="A940" s="397" t="s">
        <v>437</v>
      </c>
      <c r="B940" s="397"/>
      <c r="C940" s="712">
        <v>40422</v>
      </c>
    </row>
    <row r="941" spans="1:8" outlineLevel="1" x14ac:dyDescent="0.2">
      <c r="A941" s="397" t="s">
        <v>437</v>
      </c>
      <c r="B941" s="397"/>
      <c r="C941" s="712">
        <v>40423</v>
      </c>
      <c r="D941" s="713" t="s">
        <v>1976</v>
      </c>
      <c r="E941" t="s">
        <v>2418</v>
      </c>
      <c r="F941" s="713" t="s">
        <v>437</v>
      </c>
      <c r="G941" s="713" t="s">
        <v>518</v>
      </c>
      <c r="H941" s="701">
        <v>13890</v>
      </c>
    </row>
    <row r="942" spans="1:8" outlineLevel="1" x14ac:dyDescent="0.2">
      <c r="A942" s="715"/>
      <c r="C942" s="712">
        <v>40423</v>
      </c>
      <c r="D942" s="713" t="s">
        <v>1815</v>
      </c>
      <c r="E942" t="s">
        <v>2416</v>
      </c>
      <c r="F942" t="s">
        <v>437</v>
      </c>
      <c r="G942" s="713" t="s">
        <v>518</v>
      </c>
      <c r="H942" s="701">
        <v>4450</v>
      </c>
    </row>
    <row r="943" spans="1:8" outlineLevel="1" x14ac:dyDescent="0.2">
      <c r="A943" s="397" t="s">
        <v>437</v>
      </c>
      <c r="B943" s="397"/>
      <c r="C943" s="712">
        <v>40424</v>
      </c>
      <c r="D943" s="713" t="s">
        <v>647</v>
      </c>
      <c r="E943" t="s">
        <v>2339</v>
      </c>
      <c r="F943" s="713" t="s">
        <v>646</v>
      </c>
      <c r="G943" s="718"/>
      <c r="H943" s="701">
        <v>6750</v>
      </c>
    </row>
    <row r="944" spans="1:8" outlineLevel="1" x14ac:dyDescent="0.2">
      <c r="A944" s="397"/>
      <c r="B944" s="397"/>
      <c r="C944" s="712">
        <v>40424</v>
      </c>
      <c r="D944" s="713" t="s">
        <v>2342</v>
      </c>
      <c r="E944" t="s">
        <v>2343</v>
      </c>
      <c r="F944" s="713" t="s">
        <v>437</v>
      </c>
      <c r="G944" s="718"/>
      <c r="H944" s="701">
        <v>332000</v>
      </c>
    </row>
    <row r="945" spans="1:10" outlineLevel="1" x14ac:dyDescent="0.2">
      <c r="A945" s="715"/>
      <c r="C945" s="712">
        <v>40425</v>
      </c>
    </row>
    <row r="946" spans="1:10" outlineLevel="1" x14ac:dyDescent="0.2">
      <c r="A946" s="715"/>
      <c r="C946" s="712">
        <v>40426</v>
      </c>
    </row>
    <row r="947" spans="1:10" outlineLevel="1" x14ac:dyDescent="0.2">
      <c r="A947" s="715"/>
      <c r="C947" s="712">
        <v>40427</v>
      </c>
      <c r="D947" t="s">
        <v>43</v>
      </c>
      <c r="E947" t="s">
        <v>2370</v>
      </c>
      <c r="F947" t="s">
        <v>2436</v>
      </c>
      <c r="G947" s="713" t="s">
        <v>518</v>
      </c>
      <c r="H947" s="701">
        <v>3995</v>
      </c>
    </row>
    <row r="948" spans="1:10" outlineLevel="1" x14ac:dyDescent="0.2">
      <c r="A948" s="715"/>
      <c r="C948" s="712">
        <v>40427</v>
      </c>
      <c r="D948" t="s">
        <v>43</v>
      </c>
      <c r="E948" t="s">
        <v>2371</v>
      </c>
      <c r="F948" t="s">
        <v>836</v>
      </c>
      <c r="G948" t="s">
        <v>518</v>
      </c>
      <c r="H948" s="701">
        <v>20580</v>
      </c>
      <c r="I948" s="617" t="s">
        <v>2393</v>
      </c>
    </row>
    <row r="949" spans="1:10" outlineLevel="1" x14ac:dyDescent="0.2">
      <c r="A949" s="715"/>
      <c r="C949" s="712">
        <v>40427</v>
      </c>
      <c r="D949" t="s">
        <v>43</v>
      </c>
      <c r="E949" t="s">
        <v>2372</v>
      </c>
      <c r="F949" t="s">
        <v>1653</v>
      </c>
      <c r="G949"/>
      <c r="H949" s="701">
        <v>1000</v>
      </c>
    </row>
    <row r="950" spans="1:10" outlineLevel="1" x14ac:dyDescent="0.2">
      <c r="A950" s="715"/>
      <c r="C950" s="712">
        <v>40427</v>
      </c>
      <c r="D950" t="s">
        <v>2373</v>
      </c>
      <c r="E950" t="s">
        <v>2374</v>
      </c>
      <c r="F950" t="s">
        <v>1653</v>
      </c>
      <c r="G950" t="s">
        <v>518</v>
      </c>
      <c r="H950" s="701">
        <v>3280</v>
      </c>
    </row>
    <row r="951" spans="1:10" outlineLevel="1" x14ac:dyDescent="0.2">
      <c r="A951" s="715"/>
      <c r="C951" s="712">
        <v>40428</v>
      </c>
    </row>
    <row r="952" spans="1:10" outlineLevel="1" x14ac:dyDescent="0.2">
      <c r="A952" s="715"/>
      <c r="C952" s="712">
        <v>40429</v>
      </c>
      <c r="D952" t="s">
        <v>2375</v>
      </c>
      <c r="E952" t="s">
        <v>2376</v>
      </c>
      <c r="F952" s="713" t="s">
        <v>836</v>
      </c>
      <c r="G952" s="713" t="s">
        <v>518</v>
      </c>
      <c r="H952" s="701">
        <v>56500</v>
      </c>
    </row>
    <row r="953" spans="1:10" outlineLevel="1" x14ac:dyDescent="0.2">
      <c r="A953" s="715" t="s">
        <v>646</v>
      </c>
      <c r="C953" s="712">
        <v>40430</v>
      </c>
      <c r="D953" s="718" t="s">
        <v>2171</v>
      </c>
      <c r="E953" s="718" t="s">
        <v>2199</v>
      </c>
      <c r="F953" s="713" t="s">
        <v>646</v>
      </c>
      <c r="G953" s="718" t="s">
        <v>518</v>
      </c>
      <c r="H953" s="701">
        <v>39000</v>
      </c>
    </row>
    <row r="954" spans="1:10" outlineLevel="1" x14ac:dyDescent="0.2">
      <c r="A954" s="715" t="s">
        <v>646</v>
      </c>
      <c r="C954" s="712">
        <v>40431</v>
      </c>
      <c r="D954" s="718" t="s">
        <v>2171</v>
      </c>
      <c r="E954" s="339" t="s">
        <v>2383</v>
      </c>
      <c r="F954" s="713" t="s">
        <v>646</v>
      </c>
      <c r="G954" s="718" t="s">
        <v>518</v>
      </c>
      <c r="H954" s="701">
        <v>26000</v>
      </c>
    </row>
    <row r="955" spans="1:10" outlineLevel="1" x14ac:dyDescent="0.2">
      <c r="A955" s="715"/>
      <c r="C955" s="712">
        <v>40431</v>
      </c>
      <c r="D955" s="718" t="s">
        <v>2204</v>
      </c>
      <c r="E955" s="339" t="s">
        <v>2384</v>
      </c>
      <c r="F955" s="713" t="s">
        <v>646</v>
      </c>
      <c r="G955" s="718" t="s">
        <v>518</v>
      </c>
      <c r="H955" s="719">
        <v>70875</v>
      </c>
    </row>
    <row r="956" spans="1:10" outlineLevel="1" x14ac:dyDescent="0.2">
      <c r="A956" s="715"/>
      <c r="C956" s="712">
        <v>40431</v>
      </c>
      <c r="D956" t="s">
        <v>1656</v>
      </c>
      <c r="E956" t="s">
        <v>2385</v>
      </c>
      <c r="F956" t="s">
        <v>646</v>
      </c>
      <c r="G956" s="713" t="s">
        <v>518</v>
      </c>
      <c r="H956" s="701">
        <v>690</v>
      </c>
    </row>
    <row r="957" spans="1:10" outlineLevel="1" x14ac:dyDescent="0.2">
      <c r="A957" s="715"/>
      <c r="C957" s="712">
        <v>40431</v>
      </c>
      <c r="D957" s="718" t="s">
        <v>2196</v>
      </c>
      <c r="E957" s="339" t="s">
        <v>2389</v>
      </c>
      <c r="F957" s="713" t="s">
        <v>646</v>
      </c>
      <c r="G957" s="718"/>
      <c r="H957" s="719">
        <v>3700</v>
      </c>
    </row>
    <row r="958" spans="1:10" outlineLevel="1" x14ac:dyDescent="0.2">
      <c r="A958" s="715" t="s">
        <v>646</v>
      </c>
      <c r="C958" s="712">
        <v>40432</v>
      </c>
      <c r="D958" s="718" t="s">
        <v>43</v>
      </c>
      <c r="E958" s="339" t="s">
        <v>2390</v>
      </c>
      <c r="F958" s="713" t="s">
        <v>1653</v>
      </c>
      <c r="G958" s="718" t="s">
        <v>518</v>
      </c>
      <c r="H958" s="701">
        <v>12000</v>
      </c>
      <c r="I958" s="620">
        <v>500000</v>
      </c>
      <c r="J958" s="600" t="s">
        <v>593</v>
      </c>
    </row>
    <row r="959" spans="1:10" outlineLevel="1" x14ac:dyDescent="0.2">
      <c r="A959" s="715"/>
      <c r="C959" s="712">
        <v>40432</v>
      </c>
      <c r="D959" s="718" t="s">
        <v>43</v>
      </c>
      <c r="E959" s="339" t="s">
        <v>2391</v>
      </c>
      <c r="F959" s="713" t="s">
        <v>1653</v>
      </c>
      <c r="G959" s="718" t="s">
        <v>518</v>
      </c>
      <c r="H959" s="701">
        <v>2495</v>
      </c>
      <c r="I959" s="617" t="s">
        <v>2393</v>
      </c>
    </row>
    <row r="960" spans="1:10" outlineLevel="1" x14ac:dyDescent="0.2">
      <c r="A960" s="715"/>
      <c r="C960" s="712">
        <v>40432</v>
      </c>
      <c r="D960" t="s">
        <v>1120</v>
      </c>
      <c r="E960" t="s">
        <v>2392</v>
      </c>
      <c r="F960" t="s">
        <v>836</v>
      </c>
      <c r="G960" t="s">
        <v>518</v>
      </c>
      <c r="H960" s="701">
        <v>3990</v>
      </c>
      <c r="I960" s="617" t="s">
        <v>2393</v>
      </c>
    </row>
    <row r="961" spans="1:8" outlineLevel="1" x14ac:dyDescent="0.2">
      <c r="A961" s="715"/>
      <c r="C961" s="712">
        <v>40433</v>
      </c>
    </row>
    <row r="962" spans="1:8" outlineLevel="1" x14ac:dyDescent="0.2">
      <c r="A962" s="397" t="s">
        <v>646</v>
      </c>
      <c r="B962" s="397"/>
      <c r="C962" s="712">
        <v>40434</v>
      </c>
      <c r="D962" s="713" t="s">
        <v>1960</v>
      </c>
      <c r="E962" t="s">
        <v>2396</v>
      </c>
      <c r="F962" t="s">
        <v>2436</v>
      </c>
      <c r="G962" s="713" t="s">
        <v>518</v>
      </c>
      <c r="H962" s="701">
        <v>3960</v>
      </c>
    </row>
    <row r="963" spans="1:8" outlineLevel="1" x14ac:dyDescent="0.2">
      <c r="A963" s="715"/>
      <c r="C963" s="712">
        <v>40434</v>
      </c>
      <c r="D963" s="713" t="s">
        <v>1960</v>
      </c>
      <c r="E963" t="s">
        <v>2397</v>
      </c>
      <c r="F963" t="s">
        <v>2436</v>
      </c>
      <c r="G963" s="713" t="s">
        <v>518</v>
      </c>
      <c r="H963" s="701">
        <v>595</v>
      </c>
    </row>
    <row r="964" spans="1:8" outlineLevel="1" x14ac:dyDescent="0.2">
      <c r="A964" s="715"/>
      <c r="C964" s="712">
        <v>40434</v>
      </c>
      <c r="D964" s="713" t="s">
        <v>1960</v>
      </c>
      <c r="E964" t="s">
        <v>2398</v>
      </c>
      <c r="F964" t="s">
        <v>836</v>
      </c>
      <c r="G964" t="s">
        <v>518</v>
      </c>
      <c r="H964" s="701">
        <v>2580</v>
      </c>
    </row>
    <row r="965" spans="1:8" outlineLevel="1" x14ac:dyDescent="0.2">
      <c r="A965" s="715"/>
      <c r="C965" s="712">
        <v>40434</v>
      </c>
      <c r="D965" s="713" t="s">
        <v>1960</v>
      </c>
      <c r="E965" t="s">
        <v>2399</v>
      </c>
      <c r="F965" t="s">
        <v>1653</v>
      </c>
      <c r="G965" t="s">
        <v>518</v>
      </c>
      <c r="H965" s="701">
        <v>1490</v>
      </c>
    </row>
    <row r="966" spans="1:8" outlineLevel="1" x14ac:dyDescent="0.2">
      <c r="A966" s="715"/>
      <c r="C966" s="712">
        <v>40434</v>
      </c>
      <c r="D966" s="718" t="s">
        <v>2204</v>
      </c>
      <c r="E966" s="339" t="s">
        <v>2400</v>
      </c>
      <c r="F966" s="713" t="s">
        <v>646</v>
      </c>
      <c r="G966" s="718" t="s">
        <v>518</v>
      </c>
      <c r="H966" s="719">
        <v>4125</v>
      </c>
    </row>
    <row r="967" spans="1:8" outlineLevel="1" x14ac:dyDescent="0.2">
      <c r="A967" s="715"/>
      <c r="C967" s="712">
        <v>40434</v>
      </c>
      <c r="D967" s="718" t="s">
        <v>2204</v>
      </c>
      <c r="E967" s="339" t="s">
        <v>2401</v>
      </c>
      <c r="F967" s="713" t="s">
        <v>646</v>
      </c>
      <c r="G967" s="718" t="s">
        <v>518</v>
      </c>
      <c r="H967" s="719">
        <v>5775</v>
      </c>
    </row>
    <row r="968" spans="1:8" outlineLevel="1" x14ac:dyDescent="0.2">
      <c r="A968" s="715"/>
      <c r="C968" s="712">
        <v>40435</v>
      </c>
    </row>
    <row r="969" spans="1:8" outlineLevel="1" x14ac:dyDescent="0.2">
      <c r="A969" s="715"/>
      <c r="C969" s="712">
        <v>40436</v>
      </c>
      <c r="D969" s="713" t="s">
        <v>1656</v>
      </c>
      <c r="E969" s="713" t="s">
        <v>2413</v>
      </c>
      <c r="F969" t="s">
        <v>646</v>
      </c>
      <c r="G969" s="718" t="s">
        <v>518</v>
      </c>
      <c r="H969" s="719">
        <v>19660</v>
      </c>
    </row>
    <row r="970" spans="1:8" outlineLevel="1" x14ac:dyDescent="0.2">
      <c r="A970" s="715"/>
      <c r="C970" s="712">
        <v>40436</v>
      </c>
      <c r="D970" s="713" t="s">
        <v>1656</v>
      </c>
      <c r="E970" t="s">
        <v>2414</v>
      </c>
      <c r="F970" t="s">
        <v>2593</v>
      </c>
      <c r="G970" s="718" t="s">
        <v>518</v>
      </c>
      <c r="H970" s="719">
        <v>2180</v>
      </c>
    </row>
    <row r="971" spans="1:8" outlineLevel="1" x14ac:dyDescent="0.2">
      <c r="A971" s="715"/>
      <c r="C971" s="712">
        <v>40436</v>
      </c>
      <c r="D971" t="s">
        <v>1769</v>
      </c>
      <c r="E971" t="s">
        <v>2415</v>
      </c>
      <c r="F971" t="s">
        <v>1653</v>
      </c>
      <c r="G971" s="718"/>
      <c r="H971" s="719">
        <v>1350</v>
      </c>
    </row>
    <row r="972" spans="1:8" outlineLevel="1" x14ac:dyDescent="0.2">
      <c r="A972" s="397" t="s">
        <v>646</v>
      </c>
      <c r="B972" s="397"/>
      <c r="C972" s="712">
        <v>40437</v>
      </c>
      <c r="D972" t="s">
        <v>2439</v>
      </c>
      <c r="E972" t="s">
        <v>2419</v>
      </c>
      <c r="F972" t="s">
        <v>646</v>
      </c>
      <c r="H972" s="701">
        <v>102000</v>
      </c>
    </row>
    <row r="973" spans="1:8" outlineLevel="1" x14ac:dyDescent="0.2">
      <c r="A973" s="715"/>
      <c r="C973" s="712">
        <v>40437</v>
      </c>
      <c r="D973" t="s">
        <v>2420</v>
      </c>
      <c r="E973" t="s">
        <v>2421</v>
      </c>
      <c r="F973" t="s">
        <v>1166</v>
      </c>
      <c r="G973" t="s">
        <v>518</v>
      </c>
      <c r="H973" s="701">
        <v>35300</v>
      </c>
    </row>
    <row r="974" spans="1:8" outlineLevel="1" x14ac:dyDescent="0.2">
      <c r="A974" s="715"/>
      <c r="C974" s="712">
        <v>40437</v>
      </c>
      <c r="D974" t="s">
        <v>2422</v>
      </c>
      <c r="E974" t="s">
        <v>2423</v>
      </c>
      <c r="F974" t="s">
        <v>2436</v>
      </c>
      <c r="G974" t="s">
        <v>518</v>
      </c>
      <c r="H974" s="701">
        <v>1250</v>
      </c>
    </row>
    <row r="975" spans="1:8" outlineLevel="1" x14ac:dyDescent="0.2">
      <c r="A975" s="715"/>
      <c r="C975" s="712">
        <v>40437</v>
      </c>
      <c r="D975" s="718" t="s">
        <v>2196</v>
      </c>
      <c r="E975" s="339" t="s">
        <v>2426</v>
      </c>
      <c r="F975" s="713" t="s">
        <v>646</v>
      </c>
      <c r="G975" s="718"/>
      <c r="H975" s="719">
        <v>7650</v>
      </c>
    </row>
    <row r="976" spans="1:8" outlineLevel="1" x14ac:dyDescent="0.2">
      <c r="A976" s="397" t="s">
        <v>646</v>
      </c>
      <c r="B976" s="397"/>
      <c r="C976" s="712">
        <v>40438</v>
      </c>
      <c r="D976" s="718"/>
      <c r="E976" s="339"/>
      <c r="G976" s="718"/>
      <c r="H976" s="719"/>
    </row>
    <row r="977" spans="1:11" ht="38.25" outlineLevel="1" x14ac:dyDescent="0.2">
      <c r="A977" s="397" t="s">
        <v>2432</v>
      </c>
      <c r="B977" s="397"/>
      <c r="C977" s="712">
        <v>40439</v>
      </c>
      <c r="D977" t="s">
        <v>2422</v>
      </c>
      <c r="E977" t="s">
        <v>2433</v>
      </c>
      <c r="F977" t="s">
        <v>2436</v>
      </c>
      <c r="G977" t="s">
        <v>518</v>
      </c>
      <c r="H977" s="701">
        <v>47500</v>
      </c>
      <c r="I977" s="617" t="s">
        <v>2393</v>
      </c>
    </row>
    <row r="978" spans="1:11" outlineLevel="1" x14ac:dyDescent="0.2">
      <c r="A978" s="397"/>
      <c r="B978" s="397"/>
      <c r="C978" s="712">
        <v>40439</v>
      </c>
      <c r="D978" t="s">
        <v>2304</v>
      </c>
      <c r="E978" t="s">
        <v>646</v>
      </c>
      <c r="F978" t="s">
        <v>646</v>
      </c>
      <c r="H978" s="701">
        <v>161000</v>
      </c>
    </row>
    <row r="979" spans="1:11" outlineLevel="1" x14ac:dyDescent="0.2">
      <c r="A979" s="397"/>
      <c r="B979" s="397"/>
      <c r="C979" s="712">
        <v>40439</v>
      </c>
      <c r="D979" t="s">
        <v>1815</v>
      </c>
      <c r="E979" t="s">
        <v>2434</v>
      </c>
      <c r="F979" t="s">
        <v>1653</v>
      </c>
      <c r="H979" s="701">
        <v>5380</v>
      </c>
    </row>
    <row r="980" spans="1:11" outlineLevel="1" x14ac:dyDescent="0.2">
      <c r="A980" s="397" t="s">
        <v>2435</v>
      </c>
      <c r="B980" s="397"/>
      <c r="C980" s="712">
        <v>40440</v>
      </c>
    </row>
    <row r="981" spans="1:11" outlineLevel="1" x14ac:dyDescent="0.2">
      <c r="A981" s="715"/>
      <c r="C981" s="712">
        <v>40441</v>
      </c>
      <c r="D981" s="713" t="s">
        <v>2437</v>
      </c>
      <c r="E981" s="713" t="s">
        <v>2438</v>
      </c>
      <c r="F981" s="713" t="s">
        <v>836</v>
      </c>
      <c r="G981" s="713" t="s">
        <v>518</v>
      </c>
      <c r="H981" s="701">
        <v>12243</v>
      </c>
    </row>
    <row r="982" spans="1:11" outlineLevel="1" x14ac:dyDescent="0.2">
      <c r="A982" s="715"/>
      <c r="C982" s="712">
        <v>40442</v>
      </c>
    </row>
    <row r="983" spans="1:11" outlineLevel="1" x14ac:dyDescent="0.2">
      <c r="A983" s="715"/>
      <c r="C983" s="712">
        <v>40443</v>
      </c>
    </row>
    <row r="984" spans="1:11" outlineLevel="1" x14ac:dyDescent="0.2">
      <c r="A984" s="715"/>
      <c r="C984" s="712">
        <v>40444</v>
      </c>
      <c r="D984" t="s">
        <v>43</v>
      </c>
      <c r="E984" t="s">
        <v>2440</v>
      </c>
      <c r="F984" t="s">
        <v>2436</v>
      </c>
      <c r="G984" s="713" t="s">
        <v>518</v>
      </c>
      <c r="H984" s="701">
        <v>12280</v>
      </c>
    </row>
    <row r="985" spans="1:11" s="718" customFormat="1" outlineLevel="1" x14ac:dyDescent="0.2">
      <c r="A985" s="716"/>
      <c r="B985" s="716"/>
      <c r="C985" s="717">
        <v>40444</v>
      </c>
      <c r="D985" s="718" t="s">
        <v>2226</v>
      </c>
      <c r="E985" s="339" t="s">
        <v>2507</v>
      </c>
      <c r="F985" s="718" t="s">
        <v>836</v>
      </c>
      <c r="H985" s="719">
        <v>55000</v>
      </c>
      <c r="I985" s="809"/>
      <c r="J985" s="810"/>
    </row>
    <row r="986" spans="1:11" outlineLevel="1" x14ac:dyDescent="0.2">
      <c r="A986" s="715"/>
      <c r="C986" s="712">
        <v>40444</v>
      </c>
      <c r="D986" s="713" t="s">
        <v>1</v>
      </c>
      <c r="E986" t="s">
        <v>2442</v>
      </c>
      <c r="F986" s="713" t="s">
        <v>1363</v>
      </c>
      <c r="G986" t="s">
        <v>518</v>
      </c>
      <c r="H986" s="701">
        <v>2000</v>
      </c>
    </row>
    <row r="987" spans="1:11" outlineLevel="1" x14ac:dyDescent="0.2">
      <c r="A987" s="397" t="s">
        <v>2460</v>
      </c>
      <c r="B987" s="397"/>
      <c r="C987" s="712">
        <v>40444</v>
      </c>
      <c r="D987" s="718" t="s">
        <v>2196</v>
      </c>
      <c r="E987" s="339" t="s">
        <v>2444</v>
      </c>
      <c r="F987" s="713" t="s">
        <v>646</v>
      </c>
      <c r="G987" s="718"/>
      <c r="H987" s="719">
        <v>1900</v>
      </c>
    </row>
    <row r="988" spans="1:11" outlineLevel="1" x14ac:dyDescent="0.2">
      <c r="A988" s="397" t="s">
        <v>2460</v>
      </c>
      <c r="B988" s="397"/>
      <c r="C988" s="712">
        <v>40445</v>
      </c>
      <c r="D988" t="s">
        <v>43</v>
      </c>
      <c r="E988" t="s">
        <v>2441</v>
      </c>
      <c r="F988" t="s">
        <v>2436</v>
      </c>
      <c r="G988" s="713" t="s">
        <v>518</v>
      </c>
      <c r="H988" s="701">
        <v>23970</v>
      </c>
    </row>
    <row r="989" spans="1:11" outlineLevel="1" x14ac:dyDescent="0.2">
      <c r="A989" s="397"/>
      <c r="B989" s="397"/>
      <c r="C989" s="712">
        <v>40445</v>
      </c>
      <c r="D989" t="s">
        <v>1442</v>
      </c>
      <c r="E989" t="s">
        <v>2561</v>
      </c>
      <c r="F989" t="s">
        <v>485</v>
      </c>
      <c r="H989" s="701">
        <v>84000</v>
      </c>
    </row>
    <row r="990" spans="1:11" s="790" customFormat="1" outlineLevel="1" x14ac:dyDescent="0.2">
      <c r="A990" s="788"/>
      <c r="B990" s="788"/>
      <c r="C990" s="789">
        <v>40445</v>
      </c>
      <c r="D990" s="611" t="s">
        <v>1442</v>
      </c>
      <c r="E990" s="611" t="s">
        <v>2448</v>
      </c>
      <c r="F990" s="790" t="s">
        <v>1896</v>
      </c>
      <c r="H990" s="791">
        <v>-14000</v>
      </c>
      <c r="I990" s="822"/>
      <c r="J990" s="823"/>
      <c r="K990" s="611" t="s">
        <v>2957</v>
      </c>
    </row>
    <row r="991" spans="1:11" s="790" customFormat="1" outlineLevel="1" x14ac:dyDescent="0.2">
      <c r="A991" s="788"/>
      <c r="B991" s="788"/>
      <c r="C991" s="789">
        <v>40445</v>
      </c>
      <c r="D991" s="790" t="s">
        <v>1976</v>
      </c>
      <c r="E991" s="611" t="s">
        <v>2449</v>
      </c>
      <c r="F991" s="790" t="s">
        <v>437</v>
      </c>
      <c r="G991" s="790" t="s">
        <v>518</v>
      </c>
      <c r="H991" s="791">
        <v>-5790</v>
      </c>
      <c r="I991" s="822"/>
      <c r="J991" s="823"/>
      <c r="K991" s="611" t="s">
        <v>2957</v>
      </c>
    </row>
    <row r="992" spans="1:11" outlineLevel="1" x14ac:dyDescent="0.2">
      <c r="A992" s="715"/>
      <c r="C992" s="712">
        <v>40445</v>
      </c>
      <c r="D992" s="713" t="s">
        <v>1976</v>
      </c>
      <c r="E992" t="s">
        <v>2443</v>
      </c>
      <c r="F992" t="s">
        <v>1363</v>
      </c>
      <c r="G992" s="713" t="s">
        <v>518</v>
      </c>
      <c r="H992" s="701">
        <v>6900</v>
      </c>
    </row>
    <row r="993" spans="1:11" outlineLevel="1" x14ac:dyDescent="0.2">
      <c r="A993" s="715"/>
      <c r="C993" s="712">
        <v>40446</v>
      </c>
    </row>
    <row r="994" spans="1:11" s="790" customFormat="1" outlineLevel="1" x14ac:dyDescent="0.2">
      <c r="A994" s="788"/>
      <c r="B994" s="788"/>
      <c r="C994" s="789">
        <v>40447</v>
      </c>
      <c r="D994" s="611" t="s">
        <v>2446</v>
      </c>
      <c r="E994" s="611" t="s">
        <v>2447</v>
      </c>
      <c r="F994" s="790" t="s">
        <v>1653</v>
      </c>
      <c r="H994" s="791">
        <v>-17500</v>
      </c>
      <c r="I994" s="822"/>
      <c r="J994" s="823"/>
      <c r="K994" s="611" t="s">
        <v>2957</v>
      </c>
    </row>
    <row r="995" spans="1:11" outlineLevel="1" x14ac:dyDescent="0.2">
      <c r="A995" s="715"/>
      <c r="C995" s="712">
        <v>40448</v>
      </c>
    </row>
    <row r="996" spans="1:11" outlineLevel="1" x14ac:dyDescent="0.2">
      <c r="A996" s="715"/>
      <c r="C996" s="712">
        <v>40449</v>
      </c>
    </row>
    <row r="997" spans="1:11" outlineLevel="1" x14ac:dyDescent="0.2">
      <c r="A997" s="397" t="s">
        <v>2461</v>
      </c>
      <c r="B997" s="397"/>
      <c r="C997" s="712">
        <v>40450</v>
      </c>
      <c r="D997" t="s">
        <v>2422</v>
      </c>
      <c r="E997" t="s">
        <v>2433</v>
      </c>
      <c r="F997" t="s">
        <v>2436</v>
      </c>
      <c r="G997" t="s">
        <v>518</v>
      </c>
      <c r="H997" s="701">
        <v>2375</v>
      </c>
    </row>
    <row r="998" spans="1:11" outlineLevel="1" x14ac:dyDescent="0.2">
      <c r="A998" s="715"/>
      <c r="C998" s="712">
        <v>40450</v>
      </c>
      <c r="D998" t="s">
        <v>2454</v>
      </c>
      <c r="E998" t="s">
        <v>2455</v>
      </c>
      <c r="F998" t="s">
        <v>631</v>
      </c>
      <c r="G998"/>
      <c r="H998" s="701">
        <v>457</v>
      </c>
    </row>
    <row r="999" spans="1:11" outlineLevel="1" x14ac:dyDescent="0.2">
      <c r="A999" s="397" t="s">
        <v>2461</v>
      </c>
      <c r="B999" s="397"/>
      <c r="C999" s="712">
        <v>40451</v>
      </c>
      <c r="D999" t="s">
        <v>1815</v>
      </c>
      <c r="E999" t="s">
        <v>2456</v>
      </c>
      <c r="F999" t="s">
        <v>2463</v>
      </c>
      <c r="G999"/>
      <c r="H999" s="701">
        <v>11800</v>
      </c>
    </row>
    <row r="1000" spans="1:11" outlineLevel="1" x14ac:dyDescent="0.2">
      <c r="A1000" s="397" t="s">
        <v>2462</v>
      </c>
      <c r="B1000" s="397"/>
      <c r="C1000" s="712">
        <v>40451</v>
      </c>
      <c r="D1000" s="713" t="s">
        <v>1</v>
      </c>
      <c r="E1000" t="s">
        <v>2457</v>
      </c>
      <c r="F1000" s="713" t="s">
        <v>1363</v>
      </c>
      <c r="G1000" t="s">
        <v>518</v>
      </c>
      <c r="H1000" s="701">
        <v>16350</v>
      </c>
    </row>
    <row r="1001" spans="1:11" s="790" customFormat="1" outlineLevel="1" x14ac:dyDescent="0.2">
      <c r="A1001" s="788"/>
      <c r="B1001" s="788"/>
      <c r="C1001" s="789">
        <v>40451</v>
      </c>
      <c r="D1001" s="790" t="s">
        <v>2171</v>
      </c>
      <c r="E1001" s="611" t="s">
        <v>2458</v>
      </c>
      <c r="F1001" s="790" t="s">
        <v>646</v>
      </c>
      <c r="H1001" s="791">
        <v>-9750</v>
      </c>
      <c r="I1001" s="822"/>
      <c r="J1001" s="823"/>
      <c r="K1001" s="611" t="s">
        <v>2957</v>
      </c>
    </row>
    <row r="1002" spans="1:11" outlineLevel="1" x14ac:dyDescent="0.2">
      <c r="A1002" s="715"/>
      <c r="C1002" s="712">
        <v>40451</v>
      </c>
      <c r="D1002" s="718" t="s">
        <v>2171</v>
      </c>
      <c r="E1002" s="339" t="s">
        <v>2459</v>
      </c>
      <c r="F1002" t="s">
        <v>1653</v>
      </c>
      <c r="G1002" s="718"/>
      <c r="H1002" s="701">
        <v>9810</v>
      </c>
    </row>
    <row r="1003" spans="1:11" outlineLevel="1" x14ac:dyDescent="0.2">
      <c r="A1003" s="715"/>
      <c r="C1003" s="712">
        <v>40452</v>
      </c>
      <c r="D1003" t="s">
        <v>2422</v>
      </c>
      <c r="E1003" t="s">
        <v>2433</v>
      </c>
      <c r="F1003" t="s">
        <v>2436</v>
      </c>
      <c r="G1003" t="s">
        <v>518</v>
      </c>
      <c r="H1003" s="701">
        <v>6900</v>
      </c>
    </row>
    <row r="1004" spans="1:11" outlineLevel="1" x14ac:dyDescent="0.2">
      <c r="A1004" s="715"/>
      <c r="C1004" s="712">
        <v>40453</v>
      </c>
      <c r="D1004" s="713" t="s">
        <v>1960</v>
      </c>
      <c r="E1004" t="s">
        <v>2467</v>
      </c>
      <c r="F1004" t="s">
        <v>631</v>
      </c>
      <c r="G1004" s="713" t="s">
        <v>518</v>
      </c>
      <c r="H1004" s="701">
        <v>26970</v>
      </c>
    </row>
    <row r="1005" spans="1:11" outlineLevel="1" x14ac:dyDescent="0.2">
      <c r="A1005" s="715"/>
      <c r="C1005" s="712">
        <v>40453</v>
      </c>
      <c r="D1005" s="713" t="s">
        <v>1960</v>
      </c>
      <c r="E1005" t="s">
        <v>2464</v>
      </c>
      <c r="F1005" t="s">
        <v>2436</v>
      </c>
      <c r="G1005" s="713" t="s">
        <v>518</v>
      </c>
      <c r="H1005" s="701">
        <v>1590</v>
      </c>
    </row>
    <row r="1006" spans="1:11" outlineLevel="1" x14ac:dyDescent="0.2">
      <c r="A1006" s="715"/>
      <c r="C1006" s="712">
        <v>40453</v>
      </c>
      <c r="D1006" s="713" t="s">
        <v>1960</v>
      </c>
      <c r="E1006" t="s">
        <v>2465</v>
      </c>
      <c r="F1006" t="s">
        <v>2222</v>
      </c>
      <c r="G1006" s="713" t="s">
        <v>518</v>
      </c>
      <c r="H1006" s="701">
        <v>28350</v>
      </c>
    </row>
    <row r="1007" spans="1:11" outlineLevel="1" x14ac:dyDescent="0.2">
      <c r="A1007" s="715"/>
      <c r="C1007" s="712">
        <v>40453</v>
      </c>
      <c r="D1007" s="713" t="s">
        <v>1960</v>
      </c>
      <c r="E1007" t="s">
        <v>2466</v>
      </c>
      <c r="F1007" t="s">
        <v>2222</v>
      </c>
      <c r="G1007" s="713" t="s">
        <v>518</v>
      </c>
      <c r="H1007" s="701">
        <v>14320</v>
      </c>
    </row>
    <row r="1008" spans="1:11" outlineLevel="1" x14ac:dyDescent="0.2">
      <c r="C1008" s="712">
        <v>40454</v>
      </c>
    </row>
    <row r="1009" spans="1:11" outlineLevel="1" x14ac:dyDescent="0.2">
      <c r="C1009" s="712">
        <v>40455</v>
      </c>
    </row>
    <row r="1010" spans="1:11" outlineLevel="1" x14ac:dyDescent="0.2">
      <c r="C1010" s="712">
        <v>40456</v>
      </c>
    </row>
    <row r="1011" spans="1:11" outlineLevel="1" x14ac:dyDescent="0.2">
      <c r="C1011" s="712">
        <v>40457</v>
      </c>
      <c r="D1011" t="s">
        <v>2594</v>
      </c>
      <c r="E1011" t="s">
        <v>2414</v>
      </c>
      <c r="F1011" t="s">
        <v>2593</v>
      </c>
    </row>
    <row r="1012" spans="1:11" outlineLevel="1" x14ac:dyDescent="0.2">
      <c r="C1012" s="712">
        <v>40458</v>
      </c>
      <c r="D1012" s="718" t="s">
        <v>488</v>
      </c>
      <c r="E1012" s="339" t="s">
        <v>2498</v>
      </c>
      <c r="F1012" s="339" t="s">
        <v>1262</v>
      </c>
      <c r="G1012" s="718"/>
      <c r="H1012" s="719">
        <v>90000</v>
      </c>
    </row>
    <row r="1013" spans="1:11" s="718" customFormat="1" outlineLevel="1" x14ac:dyDescent="0.2">
      <c r="A1013" s="716"/>
      <c r="B1013" s="716"/>
      <c r="C1013" s="717">
        <v>40458</v>
      </c>
      <c r="D1013" s="339" t="s">
        <v>2307</v>
      </c>
      <c r="E1013" s="339" t="s">
        <v>2484</v>
      </c>
      <c r="F1013" s="718" t="s">
        <v>576</v>
      </c>
      <c r="H1013" s="719">
        <v>4375</v>
      </c>
      <c r="I1013" s="809"/>
      <c r="J1013" s="810"/>
    </row>
    <row r="1014" spans="1:11" s="790" customFormat="1" outlineLevel="1" x14ac:dyDescent="0.2">
      <c r="A1014" s="807"/>
      <c r="B1014" s="788"/>
      <c r="C1014" s="789">
        <v>40458</v>
      </c>
      <c r="D1014" s="611" t="s">
        <v>464</v>
      </c>
      <c r="E1014" s="611" t="s">
        <v>2485</v>
      </c>
      <c r="F1014" s="611" t="s">
        <v>102</v>
      </c>
      <c r="G1014" s="611" t="s">
        <v>518</v>
      </c>
      <c r="H1014" s="791">
        <v>-14480</v>
      </c>
      <c r="I1014" s="822"/>
      <c r="J1014" s="823"/>
      <c r="K1014" s="611" t="s">
        <v>2957</v>
      </c>
    </row>
    <row r="1015" spans="1:11" outlineLevel="1" x14ac:dyDescent="0.2">
      <c r="C1015" s="712">
        <v>40459</v>
      </c>
      <c r="D1015" s="713" t="s">
        <v>2226</v>
      </c>
      <c r="E1015" t="s">
        <v>2486</v>
      </c>
      <c r="F1015" t="s">
        <v>1262</v>
      </c>
      <c r="H1015" s="701">
        <v>25000</v>
      </c>
    </row>
    <row r="1016" spans="1:11" outlineLevel="1" x14ac:dyDescent="0.2">
      <c r="A1016" s="345" t="s">
        <v>576</v>
      </c>
      <c r="C1016" s="712">
        <v>40459</v>
      </c>
      <c r="D1016" s="713" t="s">
        <v>357</v>
      </c>
      <c r="E1016" t="s">
        <v>2487</v>
      </c>
      <c r="F1016" s="713" t="s">
        <v>576</v>
      </c>
      <c r="H1016" s="701">
        <v>20000</v>
      </c>
    </row>
    <row r="1017" spans="1:11" outlineLevel="1" x14ac:dyDescent="0.2">
      <c r="C1017" s="712">
        <v>40459</v>
      </c>
      <c r="D1017" s="713" t="s">
        <v>2488</v>
      </c>
      <c r="E1017" t="s">
        <v>2489</v>
      </c>
      <c r="F1017" t="s">
        <v>1262</v>
      </c>
      <c r="G1017" s="713" t="s">
        <v>518</v>
      </c>
      <c r="H1017" s="701">
        <v>23900</v>
      </c>
    </row>
    <row r="1018" spans="1:11" outlineLevel="1" x14ac:dyDescent="0.2">
      <c r="A1018" s="397" t="s">
        <v>2462</v>
      </c>
      <c r="C1018" s="712">
        <v>40460</v>
      </c>
      <c r="D1018" t="s">
        <v>2490</v>
      </c>
      <c r="E1018" t="s">
        <v>2491</v>
      </c>
      <c r="F1018" t="s">
        <v>2222</v>
      </c>
      <c r="G1018" s="713" t="s">
        <v>518</v>
      </c>
      <c r="H1018" s="701">
        <v>3900</v>
      </c>
    </row>
    <row r="1019" spans="1:11" outlineLevel="1" x14ac:dyDescent="0.2">
      <c r="C1019" s="712">
        <v>40460</v>
      </c>
      <c r="D1019" s="713" t="s">
        <v>1960</v>
      </c>
      <c r="E1019" t="s">
        <v>2493</v>
      </c>
      <c r="F1019" t="s">
        <v>2222</v>
      </c>
      <c r="G1019" s="713" t="s">
        <v>518</v>
      </c>
      <c r="H1019" s="701">
        <v>2760</v>
      </c>
    </row>
    <row r="1020" spans="1:11" outlineLevel="1" x14ac:dyDescent="0.2">
      <c r="C1020" s="712">
        <v>40460</v>
      </c>
      <c r="D1020" s="713" t="s">
        <v>1960</v>
      </c>
      <c r="E1020" t="s">
        <v>2492</v>
      </c>
      <c r="F1020" t="s">
        <v>2436</v>
      </c>
      <c r="G1020" s="713" t="s">
        <v>518</v>
      </c>
      <c r="H1020" s="701">
        <v>2380</v>
      </c>
    </row>
    <row r="1021" spans="1:11" outlineLevel="1" x14ac:dyDescent="0.2">
      <c r="C1021" s="712">
        <v>40460</v>
      </c>
      <c r="D1021" t="s">
        <v>2494</v>
      </c>
      <c r="E1021" t="s">
        <v>2495</v>
      </c>
      <c r="F1021" t="s">
        <v>2436</v>
      </c>
      <c r="H1021" s="701">
        <v>950</v>
      </c>
    </row>
    <row r="1022" spans="1:11" outlineLevel="1" x14ac:dyDescent="0.2">
      <c r="C1022" s="712">
        <v>40460</v>
      </c>
      <c r="D1022" t="s">
        <v>2494</v>
      </c>
      <c r="E1022" t="s">
        <v>2496</v>
      </c>
      <c r="F1022" t="s">
        <v>1653</v>
      </c>
      <c r="H1022" s="701">
        <v>1240</v>
      </c>
    </row>
    <row r="1023" spans="1:11" outlineLevel="1" x14ac:dyDescent="0.2">
      <c r="C1023" s="712">
        <v>40460</v>
      </c>
      <c r="D1023" t="s">
        <v>2497</v>
      </c>
      <c r="E1023" t="s">
        <v>2502</v>
      </c>
      <c r="F1023" t="s">
        <v>1166</v>
      </c>
      <c r="G1023" s="713" t="s">
        <v>518</v>
      </c>
      <c r="H1023" s="701">
        <v>5590</v>
      </c>
    </row>
    <row r="1024" spans="1:11" s="790" customFormat="1" outlineLevel="1" x14ac:dyDescent="0.2">
      <c r="A1024" s="807"/>
      <c r="B1024" s="788"/>
      <c r="C1024" s="789">
        <v>40461</v>
      </c>
      <c r="D1024" s="611" t="s">
        <v>2446</v>
      </c>
      <c r="E1024" s="611" t="s">
        <v>2500</v>
      </c>
      <c r="F1024" s="611" t="s">
        <v>1896</v>
      </c>
      <c r="G1024" s="611"/>
      <c r="H1024" s="791">
        <v>-1300</v>
      </c>
      <c r="I1024" s="822"/>
      <c r="J1024" s="823"/>
      <c r="K1024" s="611" t="s">
        <v>2957</v>
      </c>
    </row>
    <row r="1025" spans="1:11" s="790" customFormat="1" outlineLevel="1" x14ac:dyDescent="0.2">
      <c r="A1025" s="807"/>
      <c r="B1025" s="788"/>
      <c r="C1025" s="789">
        <v>40461</v>
      </c>
      <c r="D1025" s="611" t="s">
        <v>2446</v>
      </c>
      <c r="E1025" s="611" t="s">
        <v>2499</v>
      </c>
      <c r="F1025" s="611" t="s">
        <v>1896</v>
      </c>
      <c r="G1025" s="611"/>
      <c r="H1025" s="791">
        <v>-9000</v>
      </c>
      <c r="I1025" s="822"/>
      <c r="J1025" s="823"/>
      <c r="K1025" s="611" t="s">
        <v>2957</v>
      </c>
    </row>
    <row r="1026" spans="1:11" s="718" customFormat="1" outlineLevel="1" x14ac:dyDescent="0.2">
      <c r="A1026" s="895" t="s">
        <v>2501</v>
      </c>
      <c r="B1026" s="716"/>
      <c r="C1026" s="712">
        <v>40461</v>
      </c>
      <c r="D1026" s="718" t="s">
        <v>1989</v>
      </c>
      <c r="E1026" s="339" t="s">
        <v>2501</v>
      </c>
      <c r="F1026" s="718" t="s">
        <v>1309</v>
      </c>
      <c r="H1026" s="719">
        <v>20000</v>
      </c>
      <c r="I1026" s="809"/>
      <c r="J1026" s="810"/>
    </row>
    <row r="1027" spans="1:11" outlineLevel="1" x14ac:dyDescent="0.2">
      <c r="C1027" s="712">
        <v>40462</v>
      </c>
      <c r="D1027" s="713" t="s">
        <v>975</v>
      </c>
      <c r="E1027" t="s">
        <v>1166</v>
      </c>
      <c r="F1027" s="713" t="s">
        <v>1166</v>
      </c>
      <c r="H1027" s="701">
        <v>350000</v>
      </c>
    </row>
    <row r="1028" spans="1:11" outlineLevel="1" x14ac:dyDescent="0.2">
      <c r="C1028" s="712">
        <v>40463</v>
      </c>
      <c r="D1028" t="s">
        <v>43</v>
      </c>
      <c r="E1028" t="s">
        <v>2505</v>
      </c>
      <c r="F1028" t="s">
        <v>1896</v>
      </c>
      <c r="G1028" s="713" t="s">
        <v>518</v>
      </c>
      <c r="H1028" s="701">
        <v>3975</v>
      </c>
    </row>
    <row r="1029" spans="1:11" outlineLevel="1" x14ac:dyDescent="0.2">
      <c r="C1029" s="712">
        <v>40464</v>
      </c>
      <c r="D1029" s="713" t="s">
        <v>2226</v>
      </c>
      <c r="E1029" t="s">
        <v>2506</v>
      </c>
      <c r="F1029" t="s">
        <v>1262</v>
      </c>
      <c r="H1029" s="701">
        <v>40000</v>
      </c>
    </row>
    <row r="1030" spans="1:11" outlineLevel="1" x14ac:dyDescent="0.2">
      <c r="A1030" s="804" t="s">
        <v>576</v>
      </c>
      <c r="C1030" s="712">
        <v>40464</v>
      </c>
      <c r="D1030" s="718" t="s">
        <v>1308</v>
      </c>
      <c r="E1030" s="339" t="s">
        <v>2508</v>
      </c>
      <c r="F1030" t="s">
        <v>1363</v>
      </c>
      <c r="G1030" s="718" t="s">
        <v>518</v>
      </c>
      <c r="H1030" s="701">
        <v>157290</v>
      </c>
    </row>
    <row r="1031" spans="1:11" outlineLevel="1" x14ac:dyDescent="0.2">
      <c r="A1031" s="804" t="s">
        <v>576</v>
      </c>
      <c r="C1031" s="712">
        <v>40465</v>
      </c>
      <c r="D1031" s="718" t="s">
        <v>474</v>
      </c>
      <c r="E1031" s="339" t="s">
        <v>2566</v>
      </c>
      <c r="F1031" t="s">
        <v>1363</v>
      </c>
      <c r="G1031" s="718"/>
      <c r="H1031" s="701">
        <v>3000</v>
      </c>
    </row>
    <row r="1032" spans="1:11" outlineLevel="1" x14ac:dyDescent="0.2">
      <c r="A1032" s="345" t="s">
        <v>2520</v>
      </c>
      <c r="C1032" s="712">
        <v>40466</v>
      </c>
    </row>
    <row r="1033" spans="1:11" outlineLevel="1" x14ac:dyDescent="0.2">
      <c r="C1033" s="712">
        <v>40467</v>
      </c>
      <c r="D1033" t="s">
        <v>43</v>
      </c>
      <c r="E1033" t="s">
        <v>2509</v>
      </c>
      <c r="F1033" s="713" t="s">
        <v>1653</v>
      </c>
      <c r="G1033" s="718" t="s">
        <v>518</v>
      </c>
      <c r="H1033" s="719">
        <v>4240</v>
      </c>
    </row>
    <row r="1034" spans="1:11" outlineLevel="1" x14ac:dyDescent="0.2">
      <c r="C1034" s="712">
        <v>40467</v>
      </c>
      <c r="D1034" t="s">
        <v>43</v>
      </c>
      <c r="E1034" t="s">
        <v>2510</v>
      </c>
      <c r="F1034" s="713" t="s">
        <v>1653</v>
      </c>
      <c r="G1034" s="718" t="s">
        <v>518</v>
      </c>
      <c r="H1034" s="719">
        <v>5285</v>
      </c>
    </row>
    <row r="1035" spans="1:11" outlineLevel="1" x14ac:dyDescent="0.2">
      <c r="C1035" s="712">
        <v>40468</v>
      </c>
    </row>
    <row r="1036" spans="1:11" outlineLevel="1" x14ac:dyDescent="0.2">
      <c r="C1036" s="712">
        <v>40469</v>
      </c>
      <c r="D1036" t="s">
        <v>1815</v>
      </c>
      <c r="E1036" t="s">
        <v>2514</v>
      </c>
      <c r="F1036" t="s">
        <v>1166</v>
      </c>
      <c r="G1036" t="s">
        <v>518</v>
      </c>
      <c r="H1036" s="701">
        <v>4190</v>
      </c>
    </row>
    <row r="1037" spans="1:11" outlineLevel="1" x14ac:dyDescent="0.2">
      <c r="C1037" s="712">
        <v>40469</v>
      </c>
      <c r="D1037" t="s">
        <v>1296</v>
      </c>
      <c r="E1037" t="s">
        <v>2513</v>
      </c>
      <c r="F1037" t="s">
        <v>1166</v>
      </c>
      <c r="G1037"/>
      <c r="H1037" s="701">
        <v>15000</v>
      </c>
    </row>
    <row r="1038" spans="1:11" outlineLevel="1" x14ac:dyDescent="0.2">
      <c r="C1038" s="712">
        <v>40469</v>
      </c>
      <c r="D1038" t="s">
        <v>2515</v>
      </c>
      <c r="E1038" t="s">
        <v>2516</v>
      </c>
      <c r="F1038" t="s">
        <v>1166</v>
      </c>
      <c r="G1038" t="s">
        <v>518</v>
      </c>
      <c r="H1038" s="701">
        <v>3340</v>
      </c>
    </row>
    <row r="1039" spans="1:11" outlineLevel="1" x14ac:dyDescent="0.2">
      <c r="A1039" s="345" t="s">
        <v>2519</v>
      </c>
      <c r="C1039" s="712">
        <v>40469</v>
      </c>
      <c r="D1039" t="s">
        <v>2517</v>
      </c>
      <c r="E1039" t="s">
        <v>2518</v>
      </c>
      <c r="F1039" t="s">
        <v>1309</v>
      </c>
      <c r="G1039"/>
      <c r="H1039" s="701">
        <v>1320000</v>
      </c>
    </row>
    <row r="1040" spans="1:11" outlineLevel="1" x14ac:dyDescent="0.2">
      <c r="A1040" s="345" t="s">
        <v>2519</v>
      </c>
      <c r="C1040" s="712">
        <v>40470</v>
      </c>
      <c r="D1040" s="718" t="s">
        <v>1308</v>
      </c>
      <c r="E1040" s="339" t="s">
        <v>2521</v>
      </c>
      <c r="F1040" t="s">
        <v>1363</v>
      </c>
      <c r="G1040" s="718" t="s">
        <v>518</v>
      </c>
      <c r="H1040" s="701">
        <v>10132</v>
      </c>
    </row>
    <row r="1041" spans="1:11" s="790" customFormat="1" outlineLevel="1" x14ac:dyDescent="0.2">
      <c r="A1041" s="818"/>
      <c r="B1041" s="788"/>
      <c r="C1041" s="789">
        <v>40470</v>
      </c>
      <c r="D1041" s="611" t="s">
        <v>2446</v>
      </c>
      <c r="E1041" s="611" t="s">
        <v>2522</v>
      </c>
      <c r="F1041" s="611" t="s">
        <v>1896</v>
      </c>
      <c r="G1041" s="611"/>
      <c r="H1041" s="791">
        <v>-7600</v>
      </c>
      <c r="I1041" s="822"/>
      <c r="J1041" s="823"/>
      <c r="K1041" s="611" t="s">
        <v>2957</v>
      </c>
    </row>
    <row r="1042" spans="1:11" outlineLevel="1" x14ac:dyDescent="0.2">
      <c r="A1042" s="345"/>
      <c r="C1042" s="712">
        <v>40470</v>
      </c>
      <c r="D1042" s="718" t="s">
        <v>1447</v>
      </c>
      <c r="E1042" s="339" t="s">
        <v>2523</v>
      </c>
      <c r="F1042" t="s">
        <v>1262</v>
      </c>
      <c r="G1042" s="718"/>
      <c r="H1042" s="701">
        <v>8000</v>
      </c>
    </row>
    <row r="1043" spans="1:11" outlineLevel="1" x14ac:dyDescent="0.2">
      <c r="A1043" s="345" t="s">
        <v>2519</v>
      </c>
      <c r="C1043" s="712">
        <v>40471</v>
      </c>
      <c r="D1043" s="718" t="s">
        <v>1308</v>
      </c>
      <c r="E1043" s="339" t="s">
        <v>2524</v>
      </c>
      <c r="F1043" t="s">
        <v>1363</v>
      </c>
      <c r="G1043" s="718" t="s">
        <v>518</v>
      </c>
      <c r="H1043" s="701">
        <v>24425</v>
      </c>
    </row>
    <row r="1044" spans="1:11" outlineLevel="1" x14ac:dyDescent="0.2">
      <c r="A1044" s="345"/>
      <c r="C1044" s="712">
        <v>40471</v>
      </c>
      <c r="D1044" s="713" t="s">
        <v>1656</v>
      </c>
      <c r="E1044" t="s">
        <v>2525</v>
      </c>
      <c r="F1044" t="s">
        <v>1166</v>
      </c>
      <c r="G1044" s="718" t="s">
        <v>518</v>
      </c>
      <c r="H1044" s="719">
        <v>30490</v>
      </c>
    </row>
    <row r="1045" spans="1:11" outlineLevel="1" x14ac:dyDescent="0.2">
      <c r="A1045" s="345"/>
      <c r="C1045" s="712">
        <v>40471</v>
      </c>
      <c r="D1045" s="713" t="s">
        <v>1656</v>
      </c>
      <c r="E1045" t="s">
        <v>2526</v>
      </c>
      <c r="F1045" t="s">
        <v>1653</v>
      </c>
      <c r="G1045" s="718" t="s">
        <v>518</v>
      </c>
      <c r="H1045" s="719">
        <v>3490</v>
      </c>
    </row>
    <row r="1046" spans="1:11" outlineLevel="1" x14ac:dyDescent="0.2">
      <c r="A1046" s="345" t="s">
        <v>2519</v>
      </c>
      <c r="C1046" s="712">
        <v>40472</v>
      </c>
      <c r="D1046" s="713" t="s">
        <v>357</v>
      </c>
      <c r="E1046" t="s">
        <v>2565</v>
      </c>
      <c r="F1046" s="713" t="s">
        <v>576</v>
      </c>
      <c r="H1046" s="701">
        <v>10000</v>
      </c>
    </row>
    <row r="1047" spans="1:11" outlineLevel="1" x14ac:dyDescent="0.2">
      <c r="A1047" s="345" t="s">
        <v>2519</v>
      </c>
      <c r="C1047" s="712">
        <v>40473</v>
      </c>
      <c r="D1047" s="339" t="s">
        <v>2551</v>
      </c>
      <c r="E1047" s="339" t="s">
        <v>2552</v>
      </c>
      <c r="F1047" t="s">
        <v>1363</v>
      </c>
      <c r="G1047" s="718"/>
      <c r="H1047" s="701">
        <v>250000</v>
      </c>
    </row>
    <row r="1048" spans="1:11" outlineLevel="1" x14ac:dyDescent="0.2">
      <c r="A1048" s="345"/>
      <c r="C1048" s="712">
        <v>40473</v>
      </c>
      <c r="D1048" t="s">
        <v>2422</v>
      </c>
      <c r="E1048" t="s">
        <v>3680</v>
      </c>
      <c r="F1048" t="s">
        <v>2436</v>
      </c>
      <c r="G1048" t="s">
        <v>518</v>
      </c>
      <c r="H1048" s="701">
        <v>880</v>
      </c>
    </row>
    <row r="1049" spans="1:11" outlineLevel="1" x14ac:dyDescent="0.2">
      <c r="C1049" s="712">
        <v>40474</v>
      </c>
      <c r="D1049" s="713" t="s">
        <v>2226</v>
      </c>
      <c r="E1049" t="s">
        <v>2553</v>
      </c>
      <c r="F1049" t="s">
        <v>1262</v>
      </c>
      <c r="H1049" s="701">
        <v>3000</v>
      </c>
    </row>
    <row r="1050" spans="1:11" outlineLevel="1" x14ac:dyDescent="0.2">
      <c r="C1050" s="712">
        <v>40474</v>
      </c>
      <c r="D1050" t="s">
        <v>2554</v>
      </c>
      <c r="E1050" t="s">
        <v>2555</v>
      </c>
      <c r="F1050" t="s">
        <v>1262</v>
      </c>
      <c r="H1050" s="701">
        <v>2000</v>
      </c>
    </row>
    <row r="1051" spans="1:11" s="790" customFormat="1" outlineLevel="1" x14ac:dyDescent="0.2">
      <c r="A1051" s="807"/>
      <c r="B1051" s="788"/>
      <c r="C1051" s="789">
        <v>40475</v>
      </c>
      <c r="D1051" s="790" t="s">
        <v>1656</v>
      </c>
      <c r="E1051" s="611" t="s">
        <v>2556</v>
      </c>
      <c r="F1051" s="611" t="s">
        <v>1166</v>
      </c>
      <c r="G1051" s="790" t="s">
        <v>518</v>
      </c>
      <c r="H1051" s="791">
        <v>-7105</v>
      </c>
      <c r="I1051" s="822"/>
      <c r="J1051" s="823"/>
      <c r="K1051" s="611" t="s">
        <v>2957</v>
      </c>
    </row>
    <row r="1052" spans="1:11" outlineLevel="1" x14ac:dyDescent="0.2">
      <c r="C1052" s="712">
        <v>40475</v>
      </c>
      <c r="D1052" s="713" t="s">
        <v>1656</v>
      </c>
      <c r="E1052" t="s">
        <v>2557</v>
      </c>
      <c r="F1052" t="s">
        <v>1653</v>
      </c>
      <c r="G1052" s="718" t="s">
        <v>518</v>
      </c>
      <c r="H1052" s="719">
        <v>12975</v>
      </c>
    </row>
    <row r="1053" spans="1:11" outlineLevel="1" x14ac:dyDescent="0.2">
      <c r="C1053" s="712">
        <v>40475</v>
      </c>
      <c r="D1053" s="713" t="s">
        <v>2909</v>
      </c>
      <c r="E1053" t="s">
        <v>2650</v>
      </c>
      <c r="F1053" t="s">
        <v>1262</v>
      </c>
      <c r="H1053" s="701">
        <v>415000</v>
      </c>
    </row>
    <row r="1054" spans="1:11" outlineLevel="1" x14ac:dyDescent="0.2">
      <c r="A1054" s="345" t="s">
        <v>2519</v>
      </c>
      <c r="C1054" s="712">
        <v>40476</v>
      </c>
      <c r="D1054" s="718" t="s">
        <v>1734</v>
      </c>
      <c r="E1054" s="339" t="s">
        <v>2567</v>
      </c>
      <c r="F1054" t="s">
        <v>1262</v>
      </c>
      <c r="H1054" s="701">
        <v>4000</v>
      </c>
    </row>
    <row r="1055" spans="1:11" outlineLevel="1" x14ac:dyDescent="0.2">
      <c r="A1055" s="345"/>
      <c r="C1055" s="712">
        <v>40476</v>
      </c>
      <c r="D1055" t="s">
        <v>2570</v>
      </c>
      <c r="E1055" t="s">
        <v>2414</v>
      </c>
      <c r="F1055" t="s">
        <v>2593</v>
      </c>
      <c r="G1055" s="718"/>
      <c r="H1055" s="719">
        <v>1470</v>
      </c>
    </row>
    <row r="1056" spans="1:11" outlineLevel="1" x14ac:dyDescent="0.2">
      <c r="A1056" s="345"/>
      <c r="C1056" s="712">
        <v>40476</v>
      </c>
      <c r="D1056" t="s">
        <v>2568</v>
      </c>
      <c r="E1056" t="s">
        <v>2569</v>
      </c>
      <c r="F1056" t="s">
        <v>2593</v>
      </c>
      <c r="G1056" s="718"/>
      <c r="H1056" s="719">
        <v>3300</v>
      </c>
    </row>
    <row r="1057" spans="1:11" s="718" customFormat="1" outlineLevel="1" x14ac:dyDescent="0.2">
      <c r="A1057" s="805"/>
      <c r="B1057" s="716"/>
      <c r="C1057" s="717">
        <v>40477</v>
      </c>
      <c r="D1057" s="718" t="s">
        <v>357</v>
      </c>
      <c r="E1057" s="339" t="s">
        <v>2583</v>
      </c>
      <c r="F1057" s="718" t="s">
        <v>576</v>
      </c>
      <c r="H1057" s="719">
        <v>65000</v>
      </c>
      <c r="I1057" s="809"/>
      <c r="J1057" s="810"/>
    </row>
    <row r="1058" spans="1:11" outlineLevel="1" x14ac:dyDescent="0.2">
      <c r="A1058" s="345" t="s">
        <v>2519</v>
      </c>
      <c r="C1058" s="712">
        <v>40477</v>
      </c>
      <c r="D1058" t="s">
        <v>1442</v>
      </c>
      <c r="E1058" t="s">
        <v>2562</v>
      </c>
      <c r="F1058" t="s">
        <v>485</v>
      </c>
      <c r="H1058" s="701">
        <v>20000</v>
      </c>
    </row>
    <row r="1059" spans="1:11" outlineLevel="1" x14ac:dyDescent="0.2">
      <c r="C1059" s="712">
        <v>40477</v>
      </c>
      <c r="D1059" t="s">
        <v>1120</v>
      </c>
      <c r="E1059" t="s">
        <v>2563</v>
      </c>
      <c r="F1059" t="s">
        <v>1653</v>
      </c>
      <c r="G1059" t="s">
        <v>518</v>
      </c>
      <c r="H1059" s="701">
        <v>3400</v>
      </c>
    </row>
    <row r="1060" spans="1:11" outlineLevel="1" x14ac:dyDescent="0.2">
      <c r="C1060" s="712">
        <v>40477</v>
      </c>
      <c r="D1060" t="s">
        <v>1120</v>
      </c>
      <c r="E1060" t="s">
        <v>2564</v>
      </c>
      <c r="F1060" t="s">
        <v>1653</v>
      </c>
      <c r="G1060" t="s">
        <v>518</v>
      </c>
      <c r="H1060" s="701">
        <v>3095</v>
      </c>
    </row>
    <row r="1061" spans="1:11" outlineLevel="1" x14ac:dyDescent="0.2">
      <c r="C1061" s="712">
        <v>40477</v>
      </c>
      <c r="D1061" t="s">
        <v>1308</v>
      </c>
      <c r="E1061" t="s">
        <v>2480</v>
      </c>
      <c r="F1061" t="s">
        <v>1363</v>
      </c>
      <c r="G1061"/>
      <c r="H1061" s="701">
        <v>10000</v>
      </c>
    </row>
    <row r="1062" spans="1:11" outlineLevel="1" x14ac:dyDescent="0.2">
      <c r="C1062" s="712">
        <v>40478</v>
      </c>
      <c r="D1062" t="s">
        <v>2558</v>
      </c>
      <c r="E1062" t="s">
        <v>2450</v>
      </c>
      <c r="F1062" t="s">
        <v>631</v>
      </c>
      <c r="G1062" t="s">
        <v>518</v>
      </c>
      <c r="H1062" s="701">
        <v>85000</v>
      </c>
    </row>
    <row r="1063" spans="1:11" outlineLevel="1" x14ac:dyDescent="0.2">
      <c r="C1063" s="712">
        <v>40478</v>
      </c>
      <c r="D1063" s="718" t="s">
        <v>103</v>
      </c>
      <c r="E1063" t="s">
        <v>2559</v>
      </c>
      <c r="F1063" t="s">
        <v>1653</v>
      </c>
      <c r="G1063"/>
      <c r="H1063" s="701">
        <v>1750</v>
      </c>
    </row>
    <row r="1064" spans="1:11" outlineLevel="1" x14ac:dyDescent="0.2">
      <c r="C1064" s="712">
        <v>40478</v>
      </c>
      <c r="D1064" t="s">
        <v>43</v>
      </c>
      <c r="E1064" t="s">
        <v>2560</v>
      </c>
      <c r="F1064" t="s">
        <v>1653</v>
      </c>
      <c r="G1064" t="s">
        <v>518</v>
      </c>
      <c r="H1064" s="701">
        <v>9990</v>
      </c>
    </row>
    <row r="1065" spans="1:11" outlineLevel="1" x14ac:dyDescent="0.2">
      <c r="C1065" s="712">
        <v>40478</v>
      </c>
      <c r="D1065" t="s">
        <v>43</v>
      </c>
      <c r="E1065" t="s">
        <v>2573</v>
      </c>
      <c r="F1065" t="s">
        <v>646</v>
      </c>
      <c r="G1065" t="s">
        <v>518</v>
      </c>
      <c r="H1065" s="701">
        <v>2160</v>
      </c>
    </row>
    <row r="1066" spans="1:11" outlineLevel="1" x14ac:dyDescent="0.2">
      <c r="A1066" s="345" t="s">
        <v>2519</v>
      </c>
      <c r="C1066" s="712">
        <v>40479</v>
      </c>
      <c r="D1066" s="339" t="s">
        <v>2946</v>
      </c>
      <c r="E1066" s="339" t="s">
        <v>2947</v>
      </c>
      <c r="F1066" t="s">
        <v>1363</v>
      </c>
      <c r="G1066" s="718"/>
      <c r="H1066" s="701">
        <v>220000</v>
      </c>
    </row>
    <row r="1067" spans="1:11" outlineLevel="1" x14ac:dyDescent="0.2">
      <c r="C1067" s="712">
        <v>40480</v>
      </c>
      <c r="D1067" s="713" t="s">
        <v>1656</v>
      </c>
      <c r="E1067" t="s">
        <v>2579</v>
      </c>
      <c r="F1067" t="s">
        <v>1653</v>
      </c>
      <c r="G1067" s="718" t="s">
        <v>518</v>
      </c>
      <c r="H1067" s="719">
        <v>7186</v>
      </c>
    </row>
    <row r="1068" spans="1:11" outlineLevel="1" x14ac:dyDescent="0.2">
      <c r="C1068" s="712">
        <v>40480</v>
      </c>
      <c r="D1068" t="s">
        <v>2581</v>
      </c>
      <c r="E1068" t="s">
        <v>2578</v>
      </c>
      <c r="F1068" t="s">
        <v>631</v>
      </c>
      <c r="H1068" s="701">
        <v>30740</v>
      </c>
    </row>
    <row r="1069" spans="1:11" outlineLevel="1" x14ac:dyDescent="0.2">
      <c r="C1069" s="712">
        <v>40480</v>
      </c>
      <c r="D1069" t="s">
        <v>1960</v>
      </c>
      <c r="E1069" t="s">
        <v>2576</v>
      </c>
      <c r="F1069" t="s">
        <v>2222</v>
      </c>
      <c r="G1069" s="713" t="s">
        <v>518</v>
      </c>
      <c r="H1069" s="701">
        <v>19616</v>
      </c>
    </row>
    <row r="1070" spans="1:11" s="790" customFormat="1" outlineLevel="1" x14ac:dyDescent="0.2">
      <c r="A1070" s="807"/>
      <c r="B1070" s="788"/>
      <c r="C1070" s="789">
        <v>40480</v>
      </c>
      <c r="D1070" s="611" t="s">
        <v>1960</v>
      </c>
      <c r="E1070" s="611" t="s">
        <v>2577</v>
      </c>
      <c r="F1070" s="611" t="s">
        <v>631</v>
      </c>
      <c r="G1070" s="790" t="s">
        <v>518</v>
      </c>
      <c r="H1070" s="791">
        <v>-22970</v>
      </c>
      <c r="I1070" s="822"/>
      <c r="J1070" s="823"/>
      <c r="K1070" s="611" t="s">
        <v>2957</v>
      </c>
    </row>
    <row r="1071" spans="1:11" outlineLevel="1" x14ac:dyDescent="0.2">
      <c r="C1071" s="712">
        <v>40481</v>
      </c>
      <c r="D1071" t="s">
        <v>2446</v>
      </c>
      <c r="E1071" t="s">
        <v>2582</v>
      </c>
      <c r="F1071" t="s">
        <v>2222</v>
      </c>
      <c r="H1071" s="701">
        <v>20000</v>
      </c>
    </row>
    <row r="1072" spans="1:11" s="790" customFormat="1" outlineLevel="1" x14ac:dyDescent="0.2">
      <c r="A1072" s="807"/>
      <c r="B1072" s="788"/>
      <c r="C1072" s="789">
        <v>40481</v>
      </c>
      <c r="D1072" s="611" t="s">
        <v>1815</v>
      </c>
      <c r="E1072" s="611" t="s">
        <v>2587</v>
      </c>
      <c r="F1072" s="611" t="s">
        <v>1166</v>
      </c>
      <c r="H1072" s="791">
        <v>-5000</v>
      </c>
      <c r="I1072" s="822"/>
      <c r="J1072" s="823"/>
      <c r="K1072" s="611" t="s">
        <v>2957</v>
      </c>
    </row>
    <row r="1073" spans="1:11" outlineLevel="1" x14ac:dyDescent="0.2">
      <c r="C1073" s="712">
        <v>40481</v>
      </c>
      <c r="D1073" t="s">
        <v>1815</v>
      </c>
      <c r="E1073" t="s">
        <v>2588</v>
      </c>
      <c r="F1073" t="s">
        <v>1262</v>
      </c>
      <c r="H1073" s="701">
        <v>5000</v>
      </c>
    </row>
    <row r="1074" spans="1:11" outlineLevel="1" x14ac:dyDescent="0.2">
      <c r="C1074" s="712">
        <v>40482</v>
      </c>
      <c r="D1074" t="s">
        <v>2570</v>
      </c>
      <c r="E1074" t="s">
        <v>2580</v>
      </c>
      <c r="F1074" t="s">
        <v>2593</v>
      </c>
      <c r="G1074" s="718"/>
      <c r="H1074" s="719">
        <v>6900</v>
      </c>
    </row>
    <row r="1075" spans="1:11" s="847" customFormat="1" ht="38.25" customHeight="1" outlineLevel="1" x14ac:dyDescent="0.4">
      <c r="A1075" s="845"/>
      <c r="B1075" s="846"/>
      <c r="C1075" s="885">
        <v>40483</v>
      </c>
      <c r="E1075" s="847" t="s">
        <v>2643</v>
      </c>
      <c r="H1075" s="848"/>
      <c r="I1075" s="849"/>
      <c r="J1075" s="850"/>
    </row>
    <row r="1076" spans="1:11" outlineLevel="1" x14ac:dyDescent="0.2">
      <c r="C1076" s="712">
        <v>40483</v>
      </c>
    </row>
    <row r="1077" spans="1:11" outlineLevel="1" x14ac:dyDescent="0.2">
      <c r="C1077" s="712">
        <v>40484</v>
      </c>
      <c r="D1077" t="s">
        <v>1960</v>
      </c>
      <c r="E1077" t="s">
        <v>2574</v>
      </c>
      <c r="F1077" t="s">
        <v>2222</v>
      </c>
      <c r="G1077" s="713" t="s">
        <v>518</v>
      </c>
      <c r="H1077" s="701">
        <v>27116</v>
      </c>
    </row>
    <row r="1078" spans="1:11" outlineLevel="1" x14ac:dyDescent="0.2">
      <c r="C1078" s="712">
        <v>40484</v>
      </c>
      <c r="D1078" t="s">
        <v>1960</v>
      </c>
      <c r="E1078" t="s">
        <v>2586</v>
      </c>
      <c r="F1078" t="s">
        <v>631</v>
      </c>
      <c r="G1078" s="713" t="s">
        <v>518</v>
      </c>
      <c r="H1078" s="701">
        <v>10000</v>
      </c>
    </row>
    <row r="1079" spans="1:11" outlineLevel="1" x14ac:dyDescent="0.2">
      <c r="C1079" s="712">
        <v>40484</v>
      </c>
      <c r="D1079" s="718" t="s">
        <v>103</v>
      </c>
      <c r="E1079" t="s">
        <v>2575</v>
      </c>
      <c r="F1079" t="s">
        <v>2222</v>
      </c>
      <c r="G1079" t="s">
        <v>518</v>
      </c>
      <c r="H1079" s="701">
        <v>1715</v>
      </c>
    </row>
    <row r="1080" spans="1:11" outlineLevel="1" x14ac:dyDescent="0.2">
      <c r="C1080" s="712">
        <v>40485</v>
      </c>
    </row>
    <row r="1081" spans="1:11" outlineLevel="1" x14ac:dyDescent="0.2">
      <c r="C1081" s="712">
        <v>40486</v>
      </c>
      <c r="D1081" s="718" t="s">
        <v>1447</v>
      </c>
      <c r="E1081" s="339" t="s">
        <v>2584</v>
      </c>
      <c r="F1081" t="s">
        <v>1262</v>
      </c>
      <c r="G1081" s="718"/>
      <c r="H1081" s="701">
        <v>4000</v>
      </c>
    </row>
    <row r="1082" spans="1:11" s="790" customFormat="1" outlineLevel="1" x14ac:dyDescent="0.2">
      <c r="A1082" s="807"/>
      <c r="B1082" s="788"/>
      <c r="C1082" s="789">
        <v>40486</v>
      </c>
      <c r="D1082" s="611" t="s">
        <v>1960</v>
      </c>
      <c r="E1082" s="611" t="s">
        <v>2585</v>
      </c>
      <c r="F1082" s="611" t="s">
        <v>631</v>
      </c>
      <c r="G1082" s="790" t="s">
        <v>518</v>
      </c>
      <c r="H1082" s="791">
        <v>-5000</v>
      </c>
      <c r="I1082" s="822"/>
      <c r="J1082" s="823"/>
      <c r="K1082" s="611" t="s">
        <v>2957</v>
      </c>
    </row>
    <row r="1083" spans="1:11" outlineLevel="1" x14ac:dyDescent="0.2">
      <c r="C1083" s="712">
        <v>40487</v>
      </c>
      <c r="D1083" t="s">
        <v>2373</v>
      </c>
      <c r="E1083" t="s">
        <v>2589</v>
      </c>
      <c r="F1083" t="s">
        <v>1653</v>
      </c>
      <c r="G1083" t="s">
        <v>518</v>
      </c>
      <c r="H1083" s="701">
        <v>8200</v>
      </c>
    </row>
    <row r="1084" spans="1:11" outlineLevel="1" x14ac:dyDescent="0.2">
      <c r="C1084" s="712">
        <v>40488</v>
      </c>
    </row>
    <row r="1085" spans="1:11" outlineLevel="1" x14ac:dyDescent="0.2">
      <c r="C1085" s="712">
        <v>40489</v>
      </c>
      <c r="D1085" t="s">
        <v>2570</v>
      </c>
      <c r="E1085" t="s">
        <v>2702</v>
      </c>
      <c r="F1085" t="s">
        <v>2593</v>
      </c>
      <c r="G1085" s="718"/>
      <c r="H1085" s="719">
        <v>57000</v>
      </c>
    </row>
    <row r="1086" spans="1:11" outlineLevel="1" x14ac:dyDescent="0.2">
      <c r="C1086" s="712">
        <v>40490</v>
      </c>
    </row>
    <row r="1087" spans="1:11" outlineLevel="1" x14ac:dyDescent="0.2">
      <c r="C1087" s="712">
        <v>40491</v>
      </c>
      <c r="D1087" s="713" t="s">
        <v>2592</v>
      </c>
      <c r="E1087" s="713" t="s">
        <v>2590</v>
      </c>
      <c r="F1087" s="713" t="s">
        <v>1653</v>
      </c>
      <c r="H1087" s="701">
        <v>2000</v>
      </c>
    </row>
    <row r="1088" spans="1:11" outlineLevel="1" x14ac:dyDescent="0.2">
      <c r="C1088" s="712">
        <v>40491</v>
      </c>
      <c r="D1088" t="s">
        <v>2307</v>
      </c>
      <c r="E1088" t="s">
        <v>2591</v>
      </c>
      <c r="F1088" s="713" t="s">
        <v>1653</v>
      </c>
      <c r="G1088" s="713" t="s">
        <v>518</v>
      </c>
      <c r="H1088" s="701">
        <v>5205</v>
      </c>
    </row>
    <row r="1089" spans="3:8" outlineLevel="1" x14ac:dyDescent="0.2">
      <c r="C1089" s="712">
        <v>40492</v>
      </c>
    </row>
    <row r="1090" spans="3:8" outlineLevel="1" x14ac:dyDescent="0.2">
      <c r="C1090" s="712">
        <v>40493</v>
      </c>
    </row>
    <row r="1091" spans="3:8" outlineLevel="1" x14ac:dyDescent="0.2">
      <c r="C1091" s="712">
        <v>40494</v>
      </c>
    </row>
    <row r="1092" spans="3:8" outlineLevel="1" x14ac:dyDescent="0.2">
      <c r="C1092" s="712">
        <v>40495</v>
      </c>
    </row>
    <row r="1093" spans="3:8" outlineLevel="1" x14ac:dyDescent="0.2">
      <c r="C1093" s="712">
        <v>40496</v>
      </c>
    </row>
    <row r="1094" spans="3:8" outlineLevel="1" x14ac:dyDescent="0.2">
      <c r="C1094" s="712">
        <v>40497</v>
      </c>
    </row>
    <row r="1095" spans="3:8" outlineLevel="1" x14ac:dyDescent="0.2">
      <c r="C1095" s="712">
        <v>40498</v>
      </c>
    </row>
    <row r="1096" spans="3:8" outlineLevel="1" x14ac:dyDescent="0.2">
      <c r="C1096" s="712">
        <v>40499</v>
      </c>
    </row>
    <row r="1097" spans="3:8" outlineLevel="1" x14ac:dyDescent="0.2">
      <c r="C1097" s="712">
        <v>40500</v>
      </c>
    </row>
    <row r="1098" spans="3:8" outlineLevel="1" x14ac:dyDescent="0.2">
      <c r="C1098" s="712">
        <v>40501</v>
      </c>
    </row>
    <row r="1099" spans="3:8" outlineLevel="1" x14ac:dyDescent="0.2">
      <c r="C1099" s="712">
        <v>40502</v>
      </c>
    </row>
    <row r="1100" spans="3:8" outlineLevel="1" x14ac:dyDescent="0.2">
      <c r="C1100" s="712">
        <v>40503</v>
      </c>
    </row>
    <row r="1101" spans="3:8" outlineLevel="1" x14ac:dyDescent="0.2">
      <c r="C1101" s="712">
        <v>40504</v>
      </c>
    </row>
    <row r="1102" spans="3:8" outlineLevel="1" x14ac:dyDescent="0.2">
      <c r="C1102" s="712">
        <v>40505</v>
      </c>
      <c r="D1102" t="s">
        <v>2638</v>
      </c>
      <c r="E1102" t="s">
        <v>2639</v>
      </c>
      <c r="F1102" t="s">
        <v>2222</v>
      </c>
      <c r="G1102" t="s">
        <v>518</v>
      </c>
      <c r="H1102" s="701">
        <v>3770</v>
      </c>
    </row>
    <row r="1103" spans="3:8" outlineLevel="1" x14ac:dyDescent="0.2">
      <c r="C1103" s="712">
        <v>40505</v>
      </c>
      <c r="D1103" t="s">
        <v>1815</v>
      </c>
      <c r="E1103" t="s">
        <v>2640</v>
      </c>
      <c r="F1103" t="s">
        <v>1262</v>
      </c>
      <c r="G1103" t="s">
        <v>518</v>
      </c>
      <c r="H1103" s="701">
        <v>7230</v>
      </c>
    </row>
    <row r="1104" spans="3:8" outlineLevel="1" x14ac:dyDescent="0.2">
      <c r="C1104" s="712">
        <v>40506</v>
      </c>
    </row>
    <row r="1105" spans="3:8" outlineLevel="1" x14ac:dyDescent="0.2">
      <c r="C1105" s="712">
        <v>40507</v>
      </c>
      <c r="D1105" t="s">
        <v>1815</v>
      </c>
      <c r="E1105" t="s">
        <v>2641</v>
      </c>
      <c r="F1105" t="s">
        <v>2222</v>
      </c>
      <c r="G1105" t="s">
        <v>518</v>
      </c>
      <c r="H1105" s="701">
        <v>2000</v>
      </c>
    </row>
    <row r="1106" spans="3:8" outlineLevel="1" x14ac:dyDescent="0.2">
      <c r="C1106" s="712">
        <v>40507</v>
      </c>
      <c r="D1106" t="s">
        <v>43</v>
      </c>
      <c r="E1106" t="s">
        <v>2642</v>
      </c>
      <c r="F1106" t="s">
        <v>1262</v>
      </c>
      <c r="G1106" t="s">
        <v>518</v>
      </c>
      <c r="H1106" s="701">
        <v>695</v>
      </c>
    </row>
    <row r="1107" spans="3:8" outlineLevel="1" x14ac:dyDescent="0.2">
      <c r="C1107" s="712">
        <v>40508</v>
      </c>
    </row>
    <row r="1108" spans="3:8" outlineLevel="1" x14ac:dyDescent="0.2">
      <c r="C1108" s="712">
        <v>40509</v>
      </c>
    </row>
    <row r="1109" spans="3:8" outlineLevel="1" x14ac:dyDescent="0.2">
      <c r="C1109" s="712">
        <v>40510</v>
      </c>
    </row>
    <row r="1110" spans="3:8" outlineLevel="1" x14ac:dyDescent="0.2">
      <c r="C1110" s="712">
        <v>40511</v>
      </c>
    </row>
    <row r="1111" spans="3:8" outlineLevel="1" x14ac:dyDescent="0.2">
      <c r="C1111" s="712">
        <v>40512</v>
      </c>
    </row>
    <row r="1112" spans="3:8" outlineLevel="1" x14ac:dyDescent="0.2">
      <c r="C1112" s="712">
        <v>40513</v>
      </c>
    </row>
    <row r="1113" spans="3:8" outlineLevel="1" x14ac:dyDescent="0.2">
      <c r="C1113" s="712">
        <v>40514</v>
      </c>
      <c r="D1113" t="s">
        <v>2142</v>
      </c>
      <c r="E1113" t="s">
        <v>2644</v>
      </c>
      <c r="F1113" t="s">
        <v>576</v>
      </c>
      <c r="G1113" t="s">
        <v>518</v>
      </c>
      <c r="H1113" s="701">
        <v>500</v>
      </c>
    </row>
    <row r="1114" spans="3:8" outlineLevel="1" x14ac:dyDescent="0.2">
      <c r="C1114" s="712">
        <v>40515</v>
      </c>
      <c r="D1114" s="713" t="s">
        <v>1406</v>
      </c>
      <c r="E1114" t="s">
        <v>2653</v>
      </c>
      <c r="F1114" t="s">
        <v>1482</v>
      </c>
      <c r="G1114" s="713" t="s">
        <v>518</v>
      </c>
      <c r="H1114" s="701">
        <v>20000</v>
      </c>
    </row>
    <row r="1115" spans="3:8" outlineLevel="1" x14ac:dyDescent="0.2">
      <c r="C1115" s="712">
        <v>40516</v>
      </c>
      <c r="D1115" s="718" t="s">
        <v>1308</v>
      </c>
      <c r="E1115" s="339" t="s">
        <v>2649</v>
      </c>
      <c r="F1115" t="s">
        <v>1363</v>
      </c>
      <c r="G1115" s="718" t="s">
        <v>518</v>
      </c>
      <c r="H1115" s="701">
        <v>5741</v>
      </c>
    </row>
    <row r="1116" spans="3:8" outlineLevel="1" x14ac:dyDescent="0.2">
      <c r="C1116" s="712">
        <v>40517</v>
      </c>
    </row>
    <row r="1117" spans="3:8" outlineLevel="1" x14ac:dyDescent="0.2">
      <c r="C1117" s="712">
        <v>40518</v>
      </c>
      <c r="D1117" s="718" t="s">
        <v>1308</v>
      </c>
      <c r="E1117" s="339" t="s">
        <v>2648</v>
      </c>
      <c r="F1117" t="s">
        <v>1363</v>
      </c>
      <c r="G1117" s="718" t="s">
        <v>518</v>
      </c>
      <c r="H1117" s="701">
        <v>5616</v>
      </c>
    </row>
    <row r="1118" spans="3:8" outlineLevel="1" x14ac:dyDescent="0.2">
      <c r="C1118" s="712">
        <v>40518</v>
      </c>
      <c r="D1118" s="339" t="s">
        <v>43</v>
      </c>
      <c r="E1118" s="339" t="s">
        <v>2647</v>
      </c>
      <c r="F1118" t="s">
        <v>1363</v>
      </c>
      <c r="G1118" s="718" t="s">
        <v>518</v>
      </c>
      <c r="H1118" s="701">
        <v>5386</v>
      </c>
    </row>
    <row r="1119" spans="3:8" outlineLevel="1" x14ac:dyDescent="0.2">
      <c r="C1119" s="712">
        <v>40518</v>
      </c>
      <c r="D1119" s="339" t="s">
        <v>2651</v>
      </c>
      <c r="E1119" s="339" t="s">
        <v>2652</v>
      </c>
      <c r="F1119" s="718" t="s">
        <v>1107</v>
      </c>
      <c r="G1119" s="718" t="s">
        <v>518</v>
      </c>
      <c r="H1119" s="701">
        <v>487000</v>
      </c>
    </row>
    <row r="1120" spans="3:8" outlineLevel="1" x14ac:dyDescent="0.2">
      <c r="C1120" s="712">
        <v>40519</v>
      </c>
    </row>
    <row r="1121" spans="3:8" outlineLevel="1" x14ac:dyDescent="0.2">
      <c r="C1121" s="712">
        <v>40520</v>
      </c>
      <c r="D1121" s="339" t="s">
        <v>43</v>
      </c>
      <c r="E1121" s="339" t="s">
        <v>2647</v>
      </c>
      <c r="F1121" t="s">
        <v>1363</v>
      </c>
      <c r="G1121" s="718" t="s">
        <v>518</v>
      </c>
      <c r="H1121" s="701">
        <v>5386</v>
      </c>
    </row>
    <row r="1122" spans="3:8" outlineLevel="1" x14ac:dyDescent="0.2">
      <c r="C1122" s="712">
        <v>40521</v>
      </c>
    </row>
    <row r="1123" spans="3:8" outlineLevel="1" x14ac:dyDescent="0.2">
      <c r="C1123" s="712">
        <v>40522</v>
      </c>
    </row>
    <row r="1124" spans="3:8" outlineLevel="1" x14ac:dyDescent="0.2">
      <c r="C1124" s="712">
        <v>40523</v>
      </c>
    </row>
    <row r="1125" spans="3:8" outlineLevel="1" x14ac:dyDescent="0.2">
      <c r="C1125" s="712">
        <v>40524</v>
      </c>
    </row>
    <row r="1126" spans="3:8" outlineLevel="1" x14ac:dyDescent="0.2">
      <c r="C1126" s="712">
        <v>40525</v>
      </c>
    </row>
    <row r="1127" spans="3:8" outlineLevel="1" x14ac:dyDescent="0.2">
      <c r="C1127" s="712">
        <v>40526</v>
      </c>
    </row>
    <row r="1128" spans="3:8" outlineLevel="1" x14ac:dyDescent="0.2">
      <c r="C1128" s="712">
        <v>40527</v>
      </c>
    </row>
    <row r="1129" spans="3:8" outlineLevel="1" x14ac:dyDescent="0.2">
      <c r="C1129" s="712">
        <v>40528</v>
      </c>
    </row>
    <row r="1130" spans="3:8" outlineLevel="1" x14ac:dyDescent="0.2">
      <c r="C1130" s="712">
        <v>40529</v>
      </c>
    </row>
    <row r="1131" spans="3:8" outlineLevel="1" x14ac:dyDescent="0.2">
      <c r="C1131" s="712">
        <v>40530</v>
      </c>
    </row>
    <row r="1132" spans="3:8" outlineLevel="1" x14ac:dyDescent="0.2">
      <c r="C1132" s="712">
        <v>40531</v>
      </c>
    </row>
    <row r="1133" spans="3:8" outlineLevel="1" x14ac:dyDescent="0.2">
      <c r="C1133" s="712">
        <v>40532</v>
      </c>
    </row>
    <row r="1134" spans="3:8" outlineLevel="1" x14ac:dyDescent="0.2">
      <c r="C1134" s="712">
        <v>40533</v>
      </c>
    </row>
    <row r="1135" spans="3:8" outlineLevel="1" x14ac:dyDescent="0.2">
      <c r="C1135" s="712">
        <v>40534</v>
      </c>
      <c r="D1135" s="339" t="s">
        <v>2655</v>
      </c>
      <c r="E1135" s="339" t="s">
        <v>2656</v>
      </c>
      <c r="F1135" s="718" t="s">
        <v>1107</v>
      </c>
      <c r="G1135" s="718" t="s">
        <v>518</v>
      </c>
      <c r="H1135" s="701">
        <v>24100</v>
      </c>
    </row>
    <row r="1136" spans="3:8" outlineLevel="1" x14ac:dyDescent="0.2">
      <c r="C1136" s="712">
        <v>40534</v>
      </c>
      <c r="D1136" s="339" t="s">
        <v>2101</v>
      </c>
      <c r="E1136" s="339" t="s">
        <v>2657</v>
      </c>
      <c r="F1136" s="718" t="s">
        <v>1107</v>
      </c>
      <c r="G1136" s="718" t="s">
        <v>518</v>
      </c>
      <c r="H1136" s="701">
        <v>10920</v>
      </c>
    </row>
    <row r="1137" spans="1:10" outlineLevel="1" x14ac:dyDescent="0.2">
      <c r="C1137" s="712">
        <v>40535</v>
      </c>
    </row>
    <row r="1138" spans="1:10" outlineLevel="1" x14ac:dyDescent="0.2">
      <c r="C1138" s="712">
        <v>40536</v>
      </c>
    </row>
    <row r="1139" spans="1:10" outlineLevel="1" x14ac:dyDescent="0.2">
      <c r="C1139" s="712">
        <v>40537</v>
      </c>
    </row>
    <row r="1140" spans="1:10" outlineLevel="1" x14ac:dyDescent="0.2">
      <c r="C1140" s="712">
        <v>40538</v>
      </c>
    </row>
    <row r="1141" spans="1:10" outlineLevel="1" x14ac:dyDescent="0.2">
      <c r="C1141" s="712">
        <v>40539</v>
      </c>
    </row>
    <row r="1142" spans="1:10" outlineLevel="1" x14ac:dyDescent="0.2">
      <c r="C1142" s="712">
        <v>40540</v>
      </c>
    </row>
    <row r="1143" spans="1:10" outlineLevel="1" x14ac:dyDescent="0.2">
      <c r="C1143" s="712">
        <v>40541</v>
      </c>
    </row>
    <row r="1144" spans="1:10" outlineLevel="1" x14ac:dyDescent="0.2">
      <c r="C1144" s="712">
        <v>40542</v>
      </c>
    </row>
    <row r="1145" spans="1:10" outlineLevel="1" x14ac:dyDescent="0.2">
      <c r="C1145" s="712">
        <v>40543</v>
      </c>
    </row>
    <row r="1146" spans="1:10" ht="13.5" outlineLevel="1" thickBot="1" x14ac:dyDescent="0.25">
      <c r="C1146" s="712"/>
    </row>
    <row r="1147" spans="1:10" s="730" customFormat="1" ht="13.5" thickBot="1" x14ac:dyDescent="0.25">
      <c r="A1147" s="808"/>
      <c r="B1147" s="728"/>
      <c r="C1147" s="729" t="s">
        <v>537</v>
      </c>
      <c r="H1147" s="731">
        <f>SUM(H562:H1145)</f>
        <v>16322418</v>
      </c>
      <c r="I1147" s="732"/>
      <c r="J1147" s="733"/>
    </row>
    <row r="1148" spans="1:10" s="876" customFormat="1" x14ac:dyDescent="0.2">
      <c r="A1148" s="873"/>
      <c r="B1148" s="874"/>
      <c r="C1148" s="875"/>
      <c r="H1148" s="877"/>
      <c r="I1148" s="878"/>
      <c r="J1148" s="879"/>
    </row>
    <row r="1149" spans="1:10" outlineLevel="1" x14ac:dyDescent="0.2">
      <c r="C1149" s="712">
        <v>40544</v>
      </c>
    </row>
    <row r="1150" spans="1:10" outlineLevel="1" x14ac:dyDescent="0.2">
      <c r="C1150" s="712">
        <v>40545</v>
      </c>
    </row>
    <row r="1151" spans="1:10" outlineLevel="1" x14ac:dyDescent="0.2">
      <c r="C1151" s="712">
        <v>40546</v>
      </c>
      <c r="D1151" s="339" t="s">
        <v>1815</v>
      </c>
      <c r="E1151" s="339" t="s">
        <v>2659</v>
      </c>
      <c r="F1151" s="718" t="s">
        <v>1107</v>
      </c>
      <c r="G1151" s="718" t="s">
        <v>518</v>
      </c>
      <c r="H1151" s="701">
        <v>2350</v>
      </c>
    </row>
    <row r="1152" spans="1:10" outlineLevel="1" x14ac:dyDescent="0.2">
      <c r="C1152" s="712">
        <v>40547</v>
      </c>
    </row>
    <row r="1153" spans="3:8" outlineLevel="1" x14ac:dyDescent="0.2">
      <c r="C1153" s="712">
        <v>40548</v>
      </c>
    </row>
    <row r="1154" spans="3:8" outlineLevel="1" x14ac:dyDescent="0.2">
      <c r="C1154" s="712">
        <v>40549</v>
      </c>
      <c r="D1154" s="339" t="s">
        <v>1656</v>
      </c>
      <c r="E1154" s="339" t="s">
        <v>2676</v>
      </c>
      <c r="F1154" s="718" t="s">
        <v>1107</v>
      </c>
      <c r="G1154" s="718" t="s">
        <v>518</v>
      </c>
      <c r="H1154" s="701">
        <v>5670</v>
      </c>
    </row>
    <row r="1155" spans="3:8" outlineLevel="1" x14ac:dyDescent="0.2">
      <c r="C1155" s="712">
        <v>40549</v>
      </c>
      <c r="D1155" s="339" t="s">
        <v>1973</v>
      </c>
      <c r="E1155" s="339" t="s">
        <v>2677</v>
      </c>
      <c r="F1155" s="718" t="s">
        <v>1107</v>
      </c>
      <c r="G1155" s="339" t="s">
        <v>518</v>
      </c>
      <c r="H1155" s="701">
        <v>1668</v>
      </c>
    </row>
    <row r="1156" spans="3:8" outlineLevel="1" x14ac:dyDescent="0.2">
      <c r="C1156" s="712">
        <v>40549</v>
      </c>
      <c r="D1156" s="339" t="s">
        <v>1656</v>
      </c>
      <c r="E1156" s="339" t="s">
        <v>2678</v>
      </c>
      <c r="F1156" t="s">
        <v>1166</v>
      </c>
      <c r="G1156" s="339" t="s">
        <v>518</v>
      </c>
      <c r="H1156" s="701">
        <v>880</v>
      </c>
    </row>
    <row r="1157" spans="3:8" outlineLevel="1" x14ac:dyDescent="0.2">
      <c r="C1157" s="712">
        <v>40550</v>
      </c>
    </row>
    <row r="1158" spans="3:8" outlineLevel="1" x14ac:dyDescent="0.2">
      <c r="C1158" s="712">
        <v>40551</v>
      </c>
    </row>
    <row r="1159" spans="3:8" outlineLevel="1" x14ac:dyDescent="0.2">
      <c r="C1159" s="712">
        <v>40552</v>
      </c>
    </row>
    <row r="1160" spans="3:8" outlineLevel="1" x14ac:dyDescent="0.2">
      <c r="C1160" s="712">
        <v>40553</v>
      </c>
    </row>
    <row r="1161" spans="3:8" outlineLevel="1" x14ac:dyDescent="0.2">
      <c r="C1161" s="712">
        <v>40554</v>
      </c>
    </row>
    <row r="1162" spans="3:8" outlineLevel="1" x14ac:dyDescent="0.2">
      <c r="C1162" s="712">
        <v>40555</v>
      </c>
    </row>
    <row r="1163" spans="3:8" outlineLevel="1" x14ac:dyDescent="0.2">
      <c r="C1163" s="712">
        <v>40556</v>
      </c>
    </row>
    <row r="1164" spans="3:8" outlineLevel="1" x14ac:dyDescent="0.2">
      <c r="C1164" s="712">
        <v>40557</v>
      </c>
    </row>
    <row r="1165" spans="3:8" outlineLevel="1" x14ac:dyDescent="0.2">
      <c r="C1165" s="712">
        <v>40558</v>
      </c>
    </row>
    <row r="1166" spans="3:8" outlineLevel="1" x14ac:dyDescent="0.2">
      <c r="C1166" s="712">
        <v>40559</v>
      </c>
    </row>
    <row r="1167" spans="3:8" outlineLevel="1" x14ac:dyDescent="0.2">
      <c r="C1167" s="712">
        <v>40560</v>
      </c>
      <c r="D1167" s="713" t="s">
        <v>1342</v>
      </c>
      <c r="E1167" t="s">
        <v>2679</v>
      </c>
      <c r="F1167" s="713" t="s">
        <v>1482</v>
      </c>
      <c r="H1167" s="701">
        <v>45000</v>
      </c>
    </row>
    <row r="1168" spans="3:8" outlineLevel="1" x14ac:dyDescent="0.2">
      <c r="C1168" s="712">
        <v>40561</v>
      </c>
    </row>
    <row r="1169" spans="3:8" outlineLevel="1" x14ac:dyDescent="0.2">
      <c r="C1169" s="712">
        <v>40562</v>
      </c>
    </row>
    <row r="1170" spans="3:8" outlineLevel="1" x14ac:dyDescent="0.2">
      <c r="C1170" s="712">
        <v>40563</v>
      </c>
      <c r="D1170" t="s">
        <v>2570</v>
      </c>
      <c r="E1170" t="s">
        <v>2680</v>
      </c>
      <c r="F1170" t="s">
        <v>2593</v>
      </c>
      <c r="G1170" s="718"/>
      <c r="H1170" s="719">
        <v>25500</v>
      </c>
    </row>
    <row r="1171" spans="3:8" outlineLevel="1" x14ac:dyDescent="0.2">
      <c r="C1171" s="712">
        <v>40564</v>
      </c>
    </row>
    <row r="1172" spans="3:8" outlineLevel="1" x14ac:dyDescent="0.2">
      <c r="C1172" s="712">
        <v>40565</v>
      </c>
      <c r="D1172" s="339" t="s">
        <v>1656</v>
      </c>
      <c r="E1172" s="339" t="s">
        <v>2681</v>
      </c>
      <c r="F1172" s="339" t="s">
        <v>2222</v>
      </c>
      <c r="G1172" s="718" t="s">
        <v>518</v>
      </c>
      <c r="H1172" s="701">
        <v>6322</v>
      </c>
    </row>
    <row r="1173" spans="3:8" outlineLevel="1" x14ac:dyDescent="0.2">
      <c r="C1173" s="712">
        <v>40566</v>
      </c>
    </row>
    <row r="1174" spans="3:8" outlineLevel="1" x14ac:dyDescent="0.2">
      <c r="C1174" s="712">
        <v>40567</v>
      </c>
      <c r="D1174" t="s">
        <v>2373</v>
      </c>
      <c r="E1174" t="s">
        <v>2682</v>
      </c>
      <c r="F1174" t="s">
        <v>1653</v>
      </c>
      <c r="G1174" t="s">
        <v>518</v>
      </c>
      <c r="H1174" s="701">
        <v>10280</v>
      </c>
    </row>
    <row r="1175" spans="3:8" outlineLevel="1" x14ac:dyDescent="0.2">
      <c r="C1175" s="712">
        <v>40568</v>
      </c>
    </row>
    <row r="1176" spans="3:8" outlineLevel="1" x14ac:dyDescent="0.2">
      <c r="C1176" s="712">
        <v>40569</v>
      </c>
    </row>
    <row r="1177" spans="3:8" outlineLevel="1" x14ac:dyDescent="0.2">
      <c r="C1177" s="712">
        <v>40570</v>
      </c>
    </row>
    <row r="1178" spans="3:8" outlineLevel="1" x14ac:dyDescent="0.2">
      <c r="C1178" s="712">
        <v>40571</v>
      </c>
    </row>
    <row r="1179" spans="3:8" outlineLevel="1" x14ac:dyDescent="0.2">
      <c r="C1179" s="712">
        <v>40572</v>
      </c>
    </row>
    <row r="1180" spans="3:8" outlineLevel="1" x14ac:dyDescent="0.2">
      <c r="C1180" s="712">
        <v>40573</v>
      </c>
    </row>
    <row r="1181" spans="3:8" outlineLevel="1" x14ac:dyDescent="0.2">
      <c r="C1181" s="712">
        <v>40574</v>
      </c>
    </row>
    <row r="1182" spans="3:8" outlineLevel="1" x14ac:dyDescent="0.2">
      <c r="C1182" s="712">
        <v>40575</v>
      </c>
    </row>
    <row r="1183" spans="3:8" outlineLevel="1" x14ac:dyDescent="0.2">
      <c r="C1183" s="712">
        <v>40576</v>
      </c>
    </row>
    <row r="1184" spans="3:8" outlineLevel="1" x14ac:dyDescent="0.2">
      <c r="C1184" s="712">
        <v>40577</v>
      </c>
    </row>
    <row r="1185" spans="3:8" outlineLevel="1" x14ac:dyDescent="0.2">
      <c r="C1185" s="712">
        <v>40578</v>
      </c>
    </row>
    <row r="1186" spans="3:8" outlineLevel="1" x14ac:dyDescent="0.2">
      <c r="C1186" s="712">
        <v>40579</v>
      </c>
    </row>
    <row r="1187" spans="3:8" outlineLevel="1" x14ac:dyDescent="0.2">
      <c r="C1187" s="712">
        <v>40580</v>
      </c>
    </row>
    <row r="1188" spans="3:8" outlineLevel="1" x14ac:dyDescent="0.2">
      <c r="C1188" s="712">
        <v>40581</v>
      </c>
    </row>
    <row r="1189" spans="3:8" outlineLevel="1" x14ac:dyDescent="0.2">
      <c r="C1189" s="712">
        <v>40582</v>
      </c>
    </row>
    <row r="1190" spans="3:8" outlineLevel="1" x14ac:dyDescent="0.2">
      <c r="C1190" s="712">
        <v>40583</v>
      </c>
    </row>
    <row r="1191" spans="3:8" outlineLevel="1" x14ac:dyDescent="0.2">
      <c r="C1191" s="712">
        <v>40584</v>
      </c>
    </row>
    <row r="1192" spans="3:8" outlineLevel="1" x14ac:dyDescent="0.2">
      <c r="C1192" s="712">
        <v>40585</v>
      </c>
    </row>
    <row r="1193" spans="3:8" outlineLevel="1" x14ac:dyDescent="0.2">
      <c r="C1193" s="712">
        <v>40586</v>
      </c>
    </row>
    <row r="1194" spans="3:8" outlineLevel="1" x14ac:dyDescent="0.2">
      <c r="C1194" s="712">
        <v>40587</v>
      </c>
    </row>
    <row r="1195" spans="3:8" outlineLevel="1" x14ac:dyDescent="0.2">
      <c r="C1195" s="712">
        <v>40588</v>
      </c>
      <c r="D1195" s="713" t="s">
        <v>1345</v>
      </c>
      <c r="E1195" t="s">
        <v>1523</v>
      </c>
      <c r="F1195" s="713" t="s">
        <v>1482</v>
      </c>
      <c r="G1195" s="713" t="s">
        <v>518</v>
      </c>
      <c r="H1195" s="701">
        <v>6250</v>
      </c>
    </row>
    <row r="1196" spans="3:8" outlineLevel="1" x14ac:dyDescent="0.2">
      <c r="C1196" s="712">
        <v>40589</v>
      </c>
    </row>
    <row r="1197" spans="3:8" outlineLevel="1" x14ac:dyDescent="0.2">
      <c r="C1197" s="712">
        <v>40590</v>
      </c>
    </row>
    <row r="1198" spans="3:8" outlineLevel="1" x14ac:dyDescent="0.2">
      <c r="C1198" s="712">
        <v>40591</v>
      </c>
    </row>
    <row r="1199" spans="3:8" outlineLevel="1" x14ac:dyDescent="0.2">
      <c r="C1199" s="712">
        <v>40592</v>
      </c>
    </row>
    <row r="1200" spans="3:8" outlineLevel="1" x14ac:dyDescent="0.2">
      <c r="C1200" s="712">
        <v>40593</v>
      </c>
    </row>
    <row r="1201" spans="1:11" outlineLevel="1" x14ac:dyDescent="0.2">
      <c r="C1201" s="712">
        <v>40594</v>
      </c>
    </row>
    <row r="1202" spans="1:11" outlineLevel="1" x14ac:dyDescent="0.2">
      <c r="C1202" s="712">
        <v>40595</v>
      </c>
    </row>
    <row r="1203" spans="1:11" outlineLevel="1" x14ac:dyDescent="0.2">
      <c r="C1203" s="712">
        <v>40596</v>
      </c>
    </row>
    <row r="1204" spans="1:11" outlineLevel="1" x14ac:dyDescent="0.2">
      <c r="C1204" s="712">
        <v>40597</v>
      </c>
    </row>
    <row r="1205" spans="1:11" outlineLevel="1" x14ac:dyDescent="0.2">
      <c r="C1205" s="712">
        <v>40598</v>
      </c>
    </row>
    <row r="1206" spans="1:11" outlineLevel="1" x14ac:dyDescent="0.2">
      <c r="C1206" s="712">
        <v>40599</v>
      </c>
    </row>
    <row r="1207" spans="1:11" outlineLevel="1" x14ac:dyDescent="0.2">
      <c r="C1207" s="712">
        <v>40600</v>
      </c>
    </row>
    <row r="1208" spans="1:11" outlineLevel="1" x14ac:dyDescent="0.2">
      <c r="C1208" s="712">
        <v>40601</v>
      </c>
    </row>
    <row r="1209" spans="1:11" outlineLevel="1" x14ac:dyDescent="0.2">
      <c r="C1209" s="712">
        <v>40602</v>
      </c>
    </row>
    <row r="1210" spans="1:11" outlineLevel="1" x14ac:dyDescent="0.2">
      <c r="C1210" s="712">
        <v>40603</v>
      </c>
      <c r="D1210" t="s">
        <v>1656</v>
      </c>
      <c r="E1210" t="s">
        <v>2699</v>
      </c>
      <c r="F1210" t="s">
        <v>2593</v>
      </c>
      <c r="G1210" s="339" t="s">
        <v>518</v>
      </c>
      <c r="H1210" s="719">
        <v>3210</v>
      </c>
    </row>
    <row r="1211" spans="1:11" outlineLevel="1" x14ac:dyDescent="0.2">
      <c r="C1211" s="712">
        <v>40604</v>
      </c>
      <c r="D1211" t="s">
        <v>2570</v>
      </c>
      <c r="E1211" t="s">
        <v>2701</v>
      </c>
      <c r="F1211" t="s">
        <v>2593</v>
      </c>
      <c r="G1211" s="718"/>
      <c r="H1211" s="719">
        <v>21000</v>
      </c>
    </row>
    <row r="1212" spans="1:11" s="790" customFormat="1" outlineLevel="1" x14ac:dyDescent="0.2">
      <c r="A1212" s="807"/>
      <c r="B1212" s="788"/>
      <c r="C1212" s="789">
        <v>40605</v>
      </c>
      <c r="D1212" s="611" t="s">
        <v>2716</v>
      </c>
      <c r="E1212" s="611" t="s">
        <v>2715</v>
      </c>
      <c r="F1212" s="611" t="s">
        <v>1262</v>
      </c>
      <c r="H1212" s="791">
        <v>-15000</v>
      </c>
      <c r="I1212" s="893"/>
      <c r="J1212" s="894"/>
      <c r="K1212" s="611" t="s">
        <v>2957</v>
      </c>
    </row>
    <row r="1213" spans="1:11" outlineLevel="1" x14ac:dyDescent="0.2">
      <c r="C1213" s="712">
        <v>40606</v>
      </c>
    </row>
    <row r="1214" spans="1:11" outlineLevel="1" x14ac:dyDescent="0.2">
      <c r="C1214" s="712">
        <v>40607</v>
      </c>
    </row>
    <row r="1215" spans="1:11" outlineLevel="1" x14ac:dyDescent="0.2">
      <c r="C1215" s="712">
        <v>40608</v>
      </c>
    </row>
    <row r="1216" spans="1:11" outlineLevel="1" x14ac:dyDescent="0.2">
      <c r="C1216" s="712">
        <v>40609</v>
      </c>
    </row>
    <row r="1217" spans="3:3" outlineLevel="1" x14ac:dyDescent="0.2">
      <c r="C1217" s="712">
        <v>40610</v>
      </c>
    </row>
    <row r="1218" spans="3:3" outlineLevel="1" x14ac:dyDescent="0.2">
      <c r="C1218" s="712">
        <v>40611</v>
      </c>
    </row>
    <row r="1219" spans="3:3" outlineLevel="1" x14ac:dyDescent="0.2">
      <c r="C1219" s="712">
        <v>40612</v>
      </c>
    </row>
    <row r="1220" spans="3:3" outlineLevel="1" x14ac:dyDescent="0.2">
      <c r="C1220" s="712">
        <v>40613</v>
      </c>
    </row>
    <row r="1221" spans="3:3" outlineLevel="1" x14ac:dyDescent="0.2">
      <c r="C1221" s="712">
        <v>40614</v>
      </c>
    </row>
    <row r="1222" spans="3:3" outlineLevel="1" x14ac:dyDescent="0.2">
      <c r="C1222" s="712">
        <v>40615</v>
      </c>
    </row>
    <row r="1223" spans="3:3" outlineLevel="1" x14ac:dyDescent="0.2">
      <c r="C1223" s="712">
        <v>40616</v>
      </c>
    </row>
    <row r="1224" spans="3:3" outlineLevel="1" x14ac:dyDescent="0.2">
      <c r="C1224" s="712">
        <v>40617</v>
      </c>
    </row>
    <row r="1225" spans="3:3" outlineLevel="1" x14ac:dyDescent="0.2">
      <c r="C1225" s="712">
        <v>40618</v>
      </c>
    </row>
    <row r="1226" spans="3:3" outlineLevel="1" x14ac:dyDescent="0.2">
      <c r="C1226" s="712">
        <v>40619</v>
      </c>
    </row>
    <row r="1227" spans="3:3" outlineLevel="1" x14ac:dyDescent="0.2">
      <c r="C1227" s="712">
        <v>40620</v>
      </c>
    </row>
    <row r="1228" spans="3:3" outlineLevel="1" x14ac:dyDescent="0.2">
      <c r="C1228" s="712">
        <v>40621</v>
      </c>
    </row>
    <row r="1229" spans="3:3" outlineLevel="1" x14ac:dyDescent="0.2">
      <c r="C1229" s="712">
        <v>40622</v>
      </c>
    </row>
    <row r="1230" spans="3:3" outlineLevel="1" x14ac:dyDescent="0.2">
      <c r="C1230" s="712">
        <v>40623</v>
      </c>
    </row>
    <row r="1231" spans="3:3" outlineLevel="1" x14ac:dyDescent="0.2">
      <c r="C1231" s="712">
        <v>40624</v>
      </c>
    </row>
    <row r="1232" spans="3:3" outlineLevel="1" x14ac:dyDescent="0.2">
      <c r="C1232" s="712">
        <v>40625</v>
      </c>
    </row>
    <row r="1233" spans="3:8" outlineLevel="1" x14ac:dyDescent="0.2">
      <c r="C1233" s="712">
        <v>40626</v>
      </c>
    </row>
    <row r="1234" spans="3:8" outlineLevel="1" x14ac:dyDescent="0.2">
      <c r="C1234" s="712">
        <v>40627</v>
      </c>
    </row>
    <row r="1235" spans="3:8" outlineLevel="1" x14ac:dyDescent="0.2">
      <c r="C1235" s="712">
        <v>40628</v>
      </c>
    </row>
    <row r="1236" spans="3:8" outlineLevel="1" x14ac:dyDescent="0.2">
      <c r="C1236" s="712">
        <v>40629</v>
      </c>
      <c r="D1236" t="s">
        <v>1960</v>
      </c>
      <c r="E1236" t="s">
        <v>2767</v>
      </c>
      <c r="F1236" t="s">
        <v>631</v>
      </c>
      <c r="G1236" s="713" t="s">
        <v>518</v>
      </c>
      <c r="H1236" s="701">
        <v>4000</v>
      </c>
    </row>
    <row r="1237" spans="3:8" outlineLevel="1" x14ac:dyDescent="0.2">
      <c r="C1237" s="712">
        <v>40630</v>
      </c>
    </row>
    <row r="1238" spans="3:8" outlineLevel="1" x14ac:dyDescent="0.2">
      <c r="C1238" s="712">
        <v>40631</v>
      </c>
    </row>
    <row r="1239" spans="3:8" outlineLevel="1" x14ac:dyDescent="0.2">
      <c r="C1239" s="712">
        <v>40632</v>
      </c>
    </row>
    <row r="1240" spans="3:8" outlineLevel="1" x14ac:dyDescent="0.2">
      <c r="C1240" s="712">
        <v>40633</v>
      </c>
    </row>
    <row r="1241" spans="3:8" outlineLevel="1" x14ac:dyDescent="0.2">
      <c r="C1241" s="712">
        <v>40634</v>
      </c>
    </row>
    <row r="1242" spans="3:8" outlineLevel="1" x14ac:dyDescent="0.2">
      <c r="C1242" s="712">
        <v>40635</v>
      </c>
    </row>
    <row r="1243" spans="3:8" outlineLevel="1" x14ac:dyDescent="0.2">
      <c r="C1243" s="712">
        <v>40636</v>
      </c>
    </row>
    <row r="1244" spans="3:8" outlineLevel="1" x14ac:dyDescent="0.2">
      <c r="C1244" s="712">
        <v>40637</v>
      </c>
    </row>
    <row r="1245" spans="3:8" outlineLevel="1" x14ac:dyDescent="0.2">
      <c r="C1245" s="712">
        <v>40638</v>
      </c>
    </row>
    <row r="1246" spans="3:8" outlineLevel="1" x14ac:dyDescent="0.2">
      <c r="C1246" s="712">
        <v>40639</v>
      </c>
    </row>
    <row r="1247" spans="3:8" outlineLevel="1" x14ac:dyDescent="0.2">
      <c r="C1247" s="712">
        <v>40640</v>
      </c>
    </row>
    <row r="1248" spans="3:8" outlineLevel="1" x14ac:dyDescent="0.2">
      <c r="C1248" s="712">
        <v>40641</v>
      </c>
    </row>
    <row r="1249" spans="3:11" outlineLevel="1" x14ac:dyDescent="0.2">
      <c r="C1249" s="712">
        <v>40642</v>
      </c>
    </row>
    <row r="1250" spans="3:11" outlineLevel="1" x14ac:dyDescent="0.2">
      <c r="C1250" s="712">
        <v>40643</v>
      </c>
    </row>
    <row r="1251" spans="3:11" outlineLevel="1" x14ac:dyDescent="0.2">
      <c r="C1251" s="712">
        <v>40644</v>
      </c>
    </row>
    <row r="1252" spans="3:11" outlineLevel="1" x14ac:dyDescent="0.2">
      <c r="C1252" s="712">
        <v>40645</v>
      </c>
    </row>
    <row r="1253" spans="3:11" outlineLevel="1" x14ac:dyDescent="0.2">
      <c r="C1253" s="712">
        <v>40646</v>
      </c>
    </row>
    <row r="1254" spans="3:11" outlineLevel="1" x14ac:dyDescent="0.2">
      <c r="C1254" s="712">
        <v>40647</v>
      </c>
    </row>
    <row r="1255" spans="3:11" outlineLevel="1" x14ac:dyDescent="0.2">
      <c r="C1255" s="712">
        <v>40648</v>
      </c>
    </row>
    <row r="1256" spans="3:11" outlineLevel="1" x14ac:dyDescent="0.2">
      <c r="C1256" s="712">
        <v>40649</v>
      </c>
    </row>
    <row r="1257" spans="3:11" outlineLevel="1" x14ac:dyDescent="0.2">
      <c r="C1257" s="712">
        <v>40650</v>
      </c>
    </row>
    <row r="1258" spans="3:11" outlineLevel="1" x14ac:dyDescent="0.2">
      <c r="C1258" s="712">
        <v>40651</v>
      </c>
    </row>
    <row r="1259" spans="3:11" outlineLevel="1" x14ac:dyDescent="0.2">
      <c r="C1259" s="712">
        <v>40652</v>
      </c>
    </row>
    <row r="1260" spans="3:11" outlineLevel="1" x14ac:dyDescent="0.2">
      <c r="C1260" s="712">
        <v>40653</v>
      </c>
    </row>
    <row r="1261" spans="3:11" s="611" customFormat="1" outlineLevel="1" x14ac:dyDescent="0.2">
      <c r="C1261" s="789">
        <v>40654</v>
      </c>
      <c r="D1261" s="611" t="s">
        <v>898</v>
      </c>
      <c r="E1261" s="611" t="s">
        <v>2800</v>
      </c>
      <c r="F1261" s="611" t="s">
        <v>1363</v>
      </c>
      <c r="H1261" s="791">
        <v>-20000</v>
      </c>
      <c r="K1261" s="611" t="s">
        <v>2957</v>
      </c>
    </row>
    <row r="1262" spans="3:11" outlineLevel="1" x14ac:dyDescent="0.2">
      <c r="C1262" s="712">
        <v>40655</v>
      </c>
    </row>
    <row r="1263" spans="3:11" outlineLevel="1" x14ac:dyDescent="0.2">
      <c r="C1263" s="712">
        <v>40656</v>
      </c>
    </row>
    <row r="1264" spans="3:11" outlineLevel="1" x14ac:dyDescent="0.2">
      <c r="C1264" s="712">
        <v>40657</v>
      </c>
    </row>
    <row r="1265" spans="3:3" outlineLevel="1" x14ac:dyDescent="0.2">
      <c r="C1265" s="712">
        <v>40658</v>
      </c>
    </row>
    <row r="1266" spans="3:3" outlineLevel="1" x14ac:dyDescent="0.2">
      <c r="C1266" s="712">
        <v>40659</v>
      </c>
    </row>
    <row r="1267" spans="3:3" outlineLevel="1" x14ac:dyDescent="0.2">
      <c r="C1267" s="712">
        <v>40660</v>
      </c>
    </row>
    <row r="1268" spans="3:3" outlineLevel="1" x14ac:dyDescent="0.2">
      <c r="C1268" s="712">
        <v>40661</v>
      </c>
    </row>
    <row r="1269" spans="3:3" outlineLevel="1" x14ac:dyDescent="0.2">
      <c r="C1269" s="712">
        <v>40662</v>
      </c>
    </row>
    <row r="1270" spans="3:3" outlineLevel="1" x14ac:dyDescent="0.2">
      <c r="C1270" s="712">
        <v>40663</v>
      </c>
    </row>
    <row r="1271" spans="3:3" outlineLevel="1" x14ac:dyDescent="0.2">
      <c r="C1271" s="712">
        <v>40664</v>
      </c>
    </row>
    <row r="1272" spans="3:3" outlineLevel="1" x14ac:dyDescent="0.2">
      <c r="C1272" s="712">
        <v>40665</v>
      </c>
    </row>
    <row r="1273" spans="3:3" outlineLevel="1" x14ac:dyDescent="0.2">
      <c r="C1273" s="712">
        <v>40666</v>
      </c>
    </row>
    <row r="1274" spans="3:3" outlineLevel="1" x14ac:dyDescent="0.2">
      <c r="C1274" s="712">
        <v>40667</v>
      </c>
    </row>
    <row r="1275" spans="3:3" outlineLevel="1" x14ac:dyDescent="0.2">
      <c r="C1275" s="712">
        <v>40668</v>
      </c>
    </row>
    <row r="1276" spans="3:3" outlineLevel="1" x14ac:dyDescent="0.2">
      <c r="C1276" s="712">
        <v>40669</v>
      </c>
    </row>
    <row r="1277" spans="3:3" outlineLevel="1" x14ac:dyDescent="0.2">
      <c r="C1277" s="712">
        <v>40670</v>
      </c>
    </row>
    <row r="1278" spans="3:3" outlineLevel="1" x14ac:dyDescent="0.2">
      <c r="C1278" s="712">
        <v>40671</v>
      </c>
    </row>
    <row r="1279" spans="3:3" outlineLevel="1" x14ac:dyDescent="0.2">
      <c r="C1279" s="712">
        <v>40672</v>
      </c>
    </row>
    <row r="1280" spans="3:3" outlineLevel="1" x14ac:dyDescent="0.2">
      <c r="C1280" s="712">
        <v>40673</v>
      </c>
    </row>
    <row r="1281" spans="3:8" outlineLevel="1" x14ac:dyDescent="0.2">
      <c r="C1281" s="712">
        <v>40674</v>
      </c>
    </row>
    <row r="1282" spans="3:8" outlineLevel="1" x14ac:dyDescent="0.2">
      <c r="C1282" s="712">
        <v>40675</v>
      </c>
    </row>
    <row r="1283" spans="3:8" outlineLevel="1" x14ac:dyDescent="0.2">
      <c r="C1283" s="712">
        <v>40676</v>
      </c>
    </row>
    <row r="1284" spans="3:8" outlineLevel="1" x14ac:dyDescent="0.2">
      <c r="C1284" s="712">
        <v>40677</v>
      </c>
    </row>
    <row r="1285" spans="3:8" outlineLevel="1" x14ac:dyDescent="0.2">
      <c r="C1285" s="712">
        <v>40678</v>
      </c>
    </row>
    <row r="1286" spans="3:8" outlineLevel="1" x14ac:dyDescent="0.2">
      <c r="C1286" s="712">
        <v>40679</v>
      </c>
    </row>
    <row r="1287" spans="3:8" outlineLevel="1" x14ac:dyDescent="0.2">
      <c r="C1287" s="712">
        <v>40680</v>
      </c>
    </row>
    <row r="1288" spans="3:8" outlineLevel="1" x14ac:dyDescent="0.2">
      <c r="C1288" s="712">
        <v>40681</v>
      </c>
      <c r="D1288" s="718" t="s">
        <v>1308</v>
      </c>
      <c r="E1288" s="339" t="s">
        <v>2821</v>
      </c>
      <c r="F1288" t="s">
        <v>1363</v>
      </c>
      <c r="G1288" s="718" t="s">
        <v>518</v>
      </c>
      <c r="H1288" s="701">
        <v>20010</v>
      </c>
    </row>
    <row r="1289" spans="3:8" outlineLevel="1" x14ac:dyDescent="0.2">
      <c r="C1289" s="712">
        <v>40682</v>
      </c>
    </row>
    <row r="1290" spans="3:8" outlineLevel="1" x14ac:dyDescent="0.2">
      <c r="C1290" s="712">
        <v>40683</v>
      </c>
    </row>
    <row r="1291" spans="3:8" outlineLevel="1" x14ac:dyDescent="0.2">
      <c r="C1291" s="712">
        <v>40684</v>
      </c>
    </row>
    <row r="1292" spans="3:8" outlineLevel="1" x14ac:dyDescent="0.2">
      <c r="C1292" s="712">
        <v>40685</v>
      </c>
    </row>
    <row r="1293" spans="3:8" outlineLevel="1" x14ac:dyDescent="0.2">
      <c r="C1293" s="712">
        <v>40686</v>
      </c>
    </row>
    <row r="1294" spans="3:8" outlineLevel="1" x14ac:dyDescent="0.2">
      <c r="C1294" s="712">
        <v>40687</v>
      </c>
    </row>
    <row r="1295" spans="3:8" outlineLevel="1" x14ac:dyDescent="0.2">
      <c r="C1295" s="712">
        <v>40688</v>
      </c>
    </row>
    <row r="1296" spans="3:8" outlineLevel="1" x14ac:dyDescent="0.2">
      <c r="C1296" s="712">
        <v>40689</v>
      </c>
    </row>
    <row r="1297" spans="3:3" outlineLevel="1" x14ac:dyDescent="0.2">
      <c r="C1297" s="712">
        <v>40690</v>
      </c>
    </row>
    <row r="1298" spans="3:3" outlineLevel="1" x14ac:dyDescent="0.2">
      <c r="C1298" s="712">
        <v>40691</v>
      </c>
    </row>
    <row r="1299" spans="3:3" outlineLevel="1" x14ac:dyDescent="0.2">
      <c r="C1299" s="712">
        <v>40692</v>
      </c>
    </row>
    <row r="1300" spans="3:3" outlineLevel="1" x14ac:dyDescent="0.2">
      <c r="C1300" s="712">
        <v>40693</v>
      </c>
    </row>
    <row r="1301" spans="3:3" outlineLevel="1" x14ac:dyDescent="0.2">
      <c r="C1301" s="712">
        <v>40694</v>
      </c>
    </row>
    <row r="1302" spans="3:3" outlineLevel="1" x14ac:dyDescent="0.2">
      <c r="C1302" s="712">
        <v>40695</v>
      </c>
    </row>
    <row r="1303" spans="3:3" outlineLevel="1" x14ac:dyDescent="0.2">
      <c r="C1303" s="712">
        <v>40696</v>
      </c>
    </row>
    <row r="1304" spans="3:3" outlineLevel="1" x14ac:dyDescent="0.2">
      <c r="C1304" s="712">
        <v>40697</v>
      </c>
    </row>
    <row r="1305" spans="3:3" outlineLevel="1" x14ac:dyDescent="0.2">
      <c r="C1305" s="712">
        <v>40698</v>
      </c>
    </row>
    <row r="1306" spans="3:3" outlineLevel="1" x14ac:dyDescent="0.2">
      <c r="C1306" s="712">
        <v>40699</v>
      </c>
    </row>
    <row r="1307" spans="3:3" outlineLevel="1" x14ac:dyDescent="0.2">
      <c r="C1307" s="712">
        <v>40700</v>
      </c>
    </row>
    <row r="1308" spans="3:3" outlineLevel="1" x14ac:dyDescent="0.2">
      <c r="C1308" s="712">
        <v>40701</v>
      </c>
    </row>
    <row r="1309" spans="3:3" outlineLevel="1" x14ac:dyDescent="0.2">
      <c r="C1309" s="712">
        <v>40702</v>
      </c>
    </row>
    <row r="1310" spans="3:3" outlineLevel="1" x14ac:dyDescent="0.2">
      <c r="C1310" s="712">
        <v>40703</v>
      </c>
    </row>
    <row r="1311" spans="3:3" outlineLevel="1" x14ac:dyDescent="0.2">
      <c r="C1311" s="712">
        <v>40704</v>
      </c>
    </row>
    <row r="1312" spans="3:3" outlineLevel="1" x14ac:dyDescent="0.2">
      <c r="C1312" s="712">
        <v>40705</v>
      </c>
    </row>
    <row r="1313" spans="3:11" outlineLevel="1" x14ac:dyDescent="0.2">
      <c r="C1313" s="712">
        <v>40706</v>
      </c>
    </row>
    <row r="1314" spans="3:11" outlineLevel="1" x14ac:dyDescent="0.2">
      <c r="C1314" s="712">
        <v>40707</v>
      </c>
    </row>
    <row r="1315" spans="3:11" outlineLevel="1" x14ac:dyDescent="0.2">
      <c r="C1315" s="712">
        <v>40708</v>
      </c>
    </row>
    <row r="1316" spans="3:11" outlineLevel="1" x14ac:dyDescent="0.2">
      <c r="C1316" s="712">
        <v>40709</v>
      </c>
    </row>
    <row r="1317" spans="3:11" outlineLevel="1" x14ac:dyDescent="0.2">
      <c r="C1317" s="712">
        <v>40710</v>
      </c>
    </row>
    <row r="1318" spans="3:11" outlineLevel="1" x14ac:dyDescent="0.2">
      <c r="C1318" s="712">
        <v>40711</v>
      </c>
    </row>
    <row r="1319" spans="3:11" outlineLevel="1" x14ac:dyDescent="0.2">
      <c r="C1319" s="712">
        <v>40712</v>
      </c>
    </row>
    <row r="1320" spans="3:11" outlineLevel="1" x14ac:dyDescent="0.2">
      <c r="C1320" s="712">
        <v>40713</v>
      </c>
    </row>
    <row r="1321" spans="3:11" outlineLevel="1" x14ac:dyDescent="0.2">
      <c r="C1321" s="712">
        <v>40714</v>
      </c>
    </row>
    <row r="1322" spans="3:11" outlineLevel="1" x14ac:dyDescent="0.2">
      <c r="C1322" s="712">
        <v>40715</v>
      </c>
    </row>
    <row r="1323" spans="3:11" outlineLevel="1" x14ac:dyDescent="0.2">
      <c r="C1323" s="712">
        <v>40716</v>
      </c>
    </row>
    <row r="1324" spans="3:11" s="611" customFormat="1" outlineLevel="1" x14ac:dyDescent="0.2">
      <c r="C1324" s="789">
        <v>40717</v>
      </c>
      <c r="D1324" s="611" t="s">
        <v>898</v>
      </c>
      <c r="E1324" s="611" t="s">
        <v>2884</v>
      </c>
      <c r="F1324" s="611" t="s">
        <v>1896</v>
      </c>
      <c r="H1324" s="791">
        <v>-1750</v>
      </c>
      <c r="K1324" s="611" t="s">
        <v>2957</v>
      </c>
    </row>
    <row r="1325" spans="3:11" outlineLevel="1" x14ac:dyDescent="0.2">
      <c r="C1325" s="712">
        <v>40718</v>
      </c>
    </row>
    <row r="1326" spans="3:11" outlineLevel="1" x14ac:dyDescent="0.2">
      <c r="C1326" s="712">
        <v>40719</v>
      </c>
    </row>
    <row r="1327" spans="3:11" outlineLevel="1" x14ac:dyDescent="0.2">
      <c r="C1327" s="712">
        <v>40720</v>
      </c>
    </row>
    <row r="1328" spans="3:11" outlineLevel="1" x14ac:dyDescent="0.2">
      <c r="C1328" s="712">
        <v>40721</v>
      </c>
    </row>
    <row r="1329" spans="1:11" s="790" customFormat="1" outlineLevel="1" x14ac:dyDescent="0.2">
      <c r="A1329" s="807"/>
      <c r="B1329" s="788"/>
      <c r="C1329" s="789">
        <v>40722</v>
      </c>
      <c r="D1329" s="611" t="s">
        <v>898</v>
      </c>
      <c r="E1329" s="611" t="s">
        <v>2890</v>
      </c>
      <c r="F1329" s="611" t="s">
        <v>1363</v>
      </c>
      <c r="G1329" s="611"/>
      <c r="H1329" s="791">
        <v>-14000</v>
      </c>
      <c r="I1329" s="893"/>
      <c r="J1329" s="894"/>
      <c r="K1329" s="611" t="s">
        <v>2957</v>
      </c>
    </row>
    <row r="1330" spans="1:11" outlineLevel="1" x14ac:dyDescent="0.2">
      <c r="C1330" s="712">
        <v>40723</v>
      </c>
    </row>
    <row r="1331" spans="1:11" outlineLevel="1" x14ac:dyDescent="0.2">
      <c r="C1331" s="712">
        <v>40724</v>
      </c>
    </row>
    <row r="1332" spans="1:11" outlineLevel="1" x14ac:dyDescent="0.2">
      <c r="C1332" s="712">
        <v>40725</v>
      </c>
    </row>
    <row r="1333" spans="1:11" outlineLevel="1" x14ac:dyDescent="0.2">
      <c r="C1333" s="712">
        <v>40726</v>
      </c>
    </row>
    <row r="1334" spans="1:11" outlineLevel="1" x14ac:dyDescent="0.2">
      <c r="C1334" s="712">
        <v>40727</v>
      </c>
    </row>
    <row r="1335" spans="1:11" outlineLevel="1" x14ac:dyDescent="0.2">
      <c r="C1335" s="712">
        <v>40728</v>
      </c>
    </row>
    <row r="1336" spans="1:11" s="790" customFormat="1" outlineLevel="1" x14ac:dyDescent="0.2">
      <c r="A1336" s="807"/>
      <c r="B1336" s="788"/>
      <c r="C1336" s="789">
        <v>40729</v>
      </c>
      <c r="D1336" s="611" t="s">
        <v>898</v>
      </c>
      <c r="E1336" s="611" t="s">
        <v>2903</v>
      </c>
      <c r="F1336" s="611" t="s">
        <v>1363</v>
      </c>
      <c r="G1336" s="611"/>
      <c r="H1336" s="791">
        <v>-17500</v>
      </c>
      <c r="I1336" s="893"/>
      <c r="J1336" s="894"/>
      <c r="K1336" s="611" t="s">
        <v>2957</v>
      </c>
    </row>
    <row r="1337" spans="1:11" outlineLevel="1" x14ac:dyDescent="0.2">
      <c r="C1337" s="712">
        <v>40730</v>
      </c>
    </row>
    <row r="1338" spans="1:11" outlineLevel="1" x14ac:dyDescent="0.2">
      <c r="C1338" s="712">
        <v>40731</v>
      </c>
    </row>
    <row r="1339" spans="1:11" outlineLevel="1" x14ac:dyDescent="0.2">
      <c r="C1339" s="712">
        <v>40732</v>
      </c>
    </row>
    <row r="1340" spans="1:11" outlineLevel="1" x14ac:dyDescent="0.2">
      <c r="C1340" s="712">
        <v>40733</v>
      </c>
    </row>
    <row r="1341" spans="1:11" outlineLevel="1" x14ac:dyDescent="0.2">
      <c r="C1341" s="712">
        <v>40734</v>
      </c>
    </row>
    <row r="1342" spans="1:11" outlineLevel="1" x14ac:dyDescent="0.2">
      <c r="C1342" s="712">
        <v>40735</v>
      </c>
    </row>
    <row r="1343" spans="1:11" outlineLevel="1" x14ac:dyDescent="0.2">
      <c r="C1343" s="712">
        <v>40736</v>
      </c>
    </row>
    <row r="1344" spans="1:11" outlineLevel="1" x14ac:dyDescent="0.2">
      <c r="C1344" s="712">
        <v>40737</v>
      </c>
    </row>
    <row r="1345" spans="1:11" outlineLevel="1" x14ac:dyDescent="0.2">
      <c r="C1345" s="712">
        <v>40738</v>
      </c>
    </row>
    <row r="1346" spans="1:11" outlineLevel="1" x14ac:dyDescent="0.2">
      <c r="C1346" s="712">
        <v>40739</v>
      </c>
    </row>
    <row r="1347" spans="1:11" outlineLevel="1" x14ac:dyDescent="0.2">
      <c r="C1347" s="712">
        <v>40740</v>
      </c>
    </row>
    <row r="1348" spans="1:11" outlineLevel="1" x14ac:dyDescent="0.2">
      <c r="C1348" s="712">
        <v>40741</v>
      </c>
    </row>
    <row r="1349" spans="1:11" outlineLevel="1" x14ac:dyDescent="0.2">
      <c r="C1349" s="712">
        <v>40742</v>
      </c>
    </row>
    <row r="1350" spans="1:11" s="790" customFormat="1" outlineLevel="1" x14ac:dyDescent="0.2">
      <c r="A1350" s="807"/>
      <c r="B1350" s="788"/>
      <c r="C1350" s="789">
        <v>40743</v>
      </c>
      <c r="D1350" s="611" t="s">
        <v>898</v>
      </c>
      <c r="E1350" s="611" t="s">
        <v>2939</v>
      </c>
      <c r="F1350" s="611" t="s">
        <v>1363</v>
      </c>
      <c r="G1350" s="611"/>
      <c r="H1350" s="791">
        <v>-11000</v>
      </c>
      <c r="I1350" s="893"/>
      <c r="J1350" s="894"/>
      <c r="K1350" s="611" t="s">
        <v>2957</v>
      </c>
    </row>
    <row r="1351" spans="1:11" outlineLevel="1" x14ac:dyDescent="0.2">
      <c r="C1351" s="712">
        <v>40744</v>
      </c>
    </row>
    <row r="1352" spans="1:11" outlineLevel="1" x14ac:dyDescent="0.2">
      <c r="C1352" s="712">
        <v>40745</v>
      </c>
    </row>
    <row r="1353" spans="1:11" outlineLevel="1" x14ac:dyDescent="0.2">
      <c r="C1353" s="712">
        <v>40746</v>
      </c>
    </row>
    <row r="1354" spans="1:11" outlineLevel="1" x14ac:dyDescent="0.2">
      <c r="C1354" s="712">
        <v>40747</v>
      </c>
    </row>
    <row r="1355" spans="1:11" outlineLevel="1" x14ac:dyDescent="0.2">
      <c r="C1355" s="712">
        <v>40748</v>
      </c>
    </row>
    <row r="1356" spans="1:11" outlineLevel="1" x14ac:dyDescent="0.2">
      <c r="C1356" s="712">
        <v>40749</v>
      </c>
    </row>
    <row r="1357" spans="1:11" outlineLevel="1" x14ac:dyDescent="0.2">
      <c r="C1357" s="712">
        <v>40750</v>
      </c>
    </row>
    <row r="1358" spans="1:11" s="790" customFormat="1" outlineLevel="1" x14ac:dyDescent="0.2">
      <c r="A1358" s="807"/>
      <c r="B1358" s="788"/>
      <c r="C1358" s="789">
        <v>40751</v>
      </c>
      <c r="D1358" s="611" t="s">
        <v>2946</v>
      </c>
      <c r="E1358" s="611" t="s">
        <v>2958</v>
      </c>
      <c r="F1358" s="790" t="s">
        <v>1653</v>
      </c>
      <c r="G1358" s="790" t="s">
        <v>518</v>
      </c>
      <c r="H1358" s="791">
        <v>-42000</v>
      </c>
      <c r="I1358" s="893"/>
      <c r="J1358" s="894"/>
      <c r="K1358" s="611" t="s">
        <v>2957</v>
      </c>
    </row>
    <row r="1359" spans="1:11" outlineLevel="1" x14ac:dyDescent="0.2">
      <c r="C1359" s="712">
        <v>40752</v>
      </c>
    </row>
    <row r="1360" spans="1:11" outlineLevel="1" x14ac:dyDescent="0.2">
      <c r="C1360" s="712">
        <v>40753</v>
      </c>
    </row>
    <row r="1361" spans="3:3" outlineLevel="1" x14ac:dyDescent="0.2">
      <c r="C1361" s="712">
        <v>40754</v>
      </c>
    </row>
    <row r="1362" spans="3:3" outlineLevel="1" x14ac:dyDescent="0.2">
      <c r="C1362" s="712">
        <v>40755</v>
      </c>
    </row>
    <row r="1363" spans="3:3" outlineLevel="1" x14ac:dyDescent="0.2">
      <c r="C1363" s="712">
        <v>40756</v>
      </c>
    </row>
    <row r="1364" spans="3:3" outlineLevel="1" x14ac:dyDescent="0.2">
      <c r="C1364" s="712">
        <v>40757</v>
      </c>
    </row>
    <row r="1365" spans="3:3" outlineLevel="1" x14ac:dyDescent="0.2">
      <c r="C1365" s="712">
        <v>40758</v>
      </c>
    </row>
    <row r="1366" spans="3:3" outlineLevel="1" x14ac:dyDescent="0.2">
      <c r="C1366" s="712">
        <v>40759</v>
      </c>
    </row>
    <row r="1367" spans="3:3" outlineLevel="1" x14ac:dyDescent="0.2">
      <c r="C1367" s="712">
        <v>40760</v>
      </c>
    </row>
    <row r="1368" spans="3:3" outlineLevel="1" x14ac:dyDescent="0.2">
      <c r="C1368" s="712">
        <v>40761</v>
      </c>
    </row>
    <row r="1369" spans="3:3" outlineLevel="1" x14ac:dyDescent="0.2">
      <c r="C1369" s="712">
        <v>40762</v>
      </c>
    </row>
    <row r="1370" spans="3:3" outlineLevel="1" x14ac:dyDescent="0.2">
      <c r="C1370" s="712">
        <v>40763</v>
      </c>
    </row>
    <row r="1371" spans="3:3" outlineLevel="1" x14ac:dyDescent="0.2">
      <c r="C1371" s="712">
        <v>40764</v>
      </c>
    </row>
    <row r="1372" spans="3:3" outlineLevel="1" x14ac:dyDescent="0.2">
      <c r="C1372" s="712">
        <v>40765</v>
      </c>
    </row>
    <row r="1373" spans="3:3" outlineLevel="1" x14ac:dyDescent="0.2">
      <c r="C1373" s="712">
        <v>40766</v>
      </c>
    </row>
    <row r="1374" spans="3:3" outlineLevel="1" x14ac:dyDescent="0.2">
      <c r="C1374" s="712">
        <v>40767</v>
      </c>
    </row>
    <row r="1375" spans="3:3" outlineLevel="1" x14ac:dyDescent="0.2">
      <c r="C1375" s="712">
        <v>40768</v>
      </c>
    </row>
    <row r="1376" spans="3:3" outlineLevel="1" x14ac:dyDescent="0.2">
      <c r="C1376" s="712">
        <v>40769</v>
      </c>
    </row>
    <row r="1377" spans="3:3" outlineLevel="1" x14ac:dyDescent="0.2">
      <c r="C1377" s="712">
        <v>40770</v>
      </c>
    </row>
    <row r="1378" spans="3:3" outlineLevel="1" x14ac:dyDescent="0.2">
      <c r="C1378" s="712">
        <v>40771</v>
      </c>
    </row>
    <row r="1379" spans="3:3" outlineLevel="1" x14ac:dyDescent="0.2">
      <c r="C1379" s="712">
        <v>40772</v>
      </c>
    </row>
    <row r="1380" spans="3:3" outlineLevel="1" x14ac:dyDescent="0.2">
      <c r="C1380" s="712">
        <v>40773</v>
      </c>
    </row>
    <row r="1381" spans="3:3" outlineLevel="1" x14ac:dyDescent="0.2">
      <c r="C1381" s="712">
        <v>40774</v>
      </c>
    </row>
    <row r="1382" spans="3:3" outlineLevel="1" x14ac:dyDescent="0.2">
      <c r="C1382" s="712">
        <v>40775</v>
      </c>
    </row>
    <row r="1383" spans="3:3" outlineLevel="1" x14ac:dyDescent="0.2">
      <c r="C1383" s="712">
        <v>40776</v>
      </c>
    </row>
    <row r="1384" spans="3:3" outlineLevel="1" x14ac:dyDescent="0.2">
      <c r="C1384" s="712">
        <v>40777</v>
      </c>
    </row>
    <row r="1385" spans="3:3" outlineLevel="1" x14ac:dyDescent="0.2">
      <c r="C1385" s="712">
        <v>40778</v>
      </c>
    </row>
    <row r="1386" spans="3:3" outlineLevel="1" x14ac:dyDescent="0.2">
      <c r="C1386" s="712">
        <v>40779</v>
      </c>
    </row>
    <row r="1387" spans="3:3" outlineLevel="1" x14ac:dyDescent="0.2">
      <c r="C1387" s="712">
        <v>40780</v>
      </c>
    </row>
    <row r="1388" spans="3:3" outlineLevel="1" x14ac:dyDescent="0.2">
      <c r="C1388" s="712">
        <v>40781</v>
      </c>
    </row>
    <row r="1389" spans="3:3" outlineLevel="1" x14ac:dyDescent="0.2">
      <c r="C1389" s="712">
        <v>40782</v>
      </c>
    </row>
    <row r="1390" spans="3:3" outlineLevel="1" x14ac:dyDescent="0.2">
      <c r="C1390" s="712">
        <v>40783</v>
      </c>
    </row>
    <row r="1391" spans="3:3" outlineLevel="1" x14ac:dyDescent="0.2">
      <c r="C1391" s="712">
        <v>40784</v>
      </c>
    </row>
    <row r="1392" spans="3:3" outlineLevel="1" x14ac:dyDescent="0.2">
      <c r="C1392" s="712">
        <v>40785</v>
      </c>
    </row>
    <row r="1393" spans="3:3" outlineLevel="1" x14ac:dyDescent="0.2">
      <c r="C1393" s="712">
        <v>40786</v>
      </c>
    </row>
    <row r="1394" spans="3:3" outlineLevel="1" x14ac:dyDescent="0.2">
      <c r="C1394" s="712">
        <v>40787</v>
      </c>
    </row>
    <row r="1395" spans="3:3" outlineLevel="1" x14ac:dyDescent="0.2">
      <c r="C1395" s="712">
        <v>40788</v>
      </c>
    </row>
    <row r="1396" spans="3:3" outlineLevel="1" x14ac:dyDescent="0.2">
      <c r="C1396" s="712">
        <v>40789</v>
      </c>
    </row>
    <row r="1397" spans="3:3" outlineLevel="1" x14ac:dyDescent="0.2">
      <c r="C1397" s="712">
        <v>40790</v>
      </c>
    </row>
    <row r="1398" spans="3:3" outlineLevel="1" x14ac:dyDescent="0.2">
      <c r="C1398" s="712">
        <v>40791</v>
      </c>
    </row>
    <row r="1399" spans="3:3" outlineLevel="1" x14ac:dyDescent="0.2">
      <c r="C1399" s="712">
        <v>40792</v>
      </c>
    </row>
    <row r="1400" spans="3:3" outlineLevel="1" x14ac:dyDescent="0.2">
      <c r="C1400" s="712">
        <v>40793</v>
      </c>
    </row>
    <row r="1401" spans="3:3" outlineLevel="1" x14ac:dyDescent="0.2">
      <c r="C1401" s="712">
        <v>40794</v>
      </c>
    </row>
    <row r="1402" spans="3:3" outlineLevel="1" x14ac:dyDescent="0.2">
      <c r="C1402" s="712">
        <v>40795</v>
      </c>
    </row>
    <row r="1403" spans="3:3" outlineLevel="1" x14ac:dyDescent="0.2">
      <c r="C1403" s="712">
        <v>40796</v>
      </c>
    </row>
    <row r="1404" spans="3:3" outlineLevel="1" x14ac:dyDescent="0.2">
      <c r="C1404" s="712">
        <v>40797</v>
      </c>
    </row>
    <row r="1405" spans="3:3" outlineLevel="1" x14ac:dyDescent="0.2">
      <c r="C1405" s="712">
        <v>40798</v>
      </c>
    </row>
    <row r="1406" spans="3:3" outlineLevel="1" x14ac:dyDescent="0.2">
      <c r="C1406" s="712">
        <v>40799</v>
      </c>
    </row>
    <row r="1407" spans="3:3" outlineLevel="1" x14ac:dyDescent="0.2">
      <c r="C1407" s="712">
        <v>40800</v>
      </c>
    </row>
    <row r="1408" spans="3:3" outlineLevel="1" x14ac:dyDescent="0.2">
      <c r="C1408" s="712">
        <v>40801</v>
      </c>
    </row>
    <row r="1409" spans="3:3" outlineLevel="1" x14ac:dyDescent="0.2">
      <c r="C1409" s="712">
        <v>40802</v>
      </c>
    </row>
    <row r="1410" spans="3:3" outlineLevel="1" x14ac:dyDescent="0.2">
      <c r="C1410" s="712">
        <v>40803</v>
      </c>
    </row>
    <row r="1411" spans="3:3" outlineLevel="1" x14ac:dyDescent="0.2">
      <c r="C1411" s="712">
        <v>40804</v>
      </c>
    </row>
    <row r="1412" spans="3:3" outlineLevel="1" x14ac:dyDescent="0.2">
      <c r="C1412" s="712">
        <v>40805</v>
      </c>
    </row>
    <row r="1413" spans="3:3" outlineLevel="1" x14ac:dyDescent="0.2">
      <c r="C1413" s="712">
        <v>40806</v>
      </c>
    </row>
    <row r="1414" spans="3:3" outlineLevel="1" x14ac:dyDescent="0.2">
      <c r="C1414" s="712">
        <v>40807</v>
      </c>
    </row>
    <row r="1415" spans="3:3" outlineLevel="1" x14ac:dyDescent="0.2">
      <c r="C1415" s="712">
        <v>40808</v>
      </c>
    </row>
    <row r="1416" spans="3:3" outlineLevel="1" x14ac:dyDescent="0.2">
      <c r="C1416" s="712">
        <v>40809</v>
      </c>
    </row>
    <row r="1417" spans="3:3" outlineLevel="1" x14ac:dyDescent="0.2">
      <c r="C1417" s="712">
        <v>40810</v>
      </c>
    </row>
    <row r="1418" spans="3:3" outlineLevel="1" x14ac:dyDescent="0.2">
      <c r="C1418" s="712">
        <v>40811</v>
      </c>
    </row>
    <row r="1419" spans="3:3" outlineLevel="1" x14ac:dyDescent="0.2">
      <c r="C1419" s="712">
        <v>40812</v>
      </c>
    </row>
    <row r="1420" spans="3:3" outlineLevel="1" x14ac:dyDescent="0.2">
      <c r="C1420" s="712">
        <v>40813</v>
      </c>
    </row>
    <row r="1421" spans="3:3" outlineLevel="1" x14ac:dyDescent="0.2">
      <c r="C1421" s="712">
        <v>40814</v>
      </c>
    </row>
    <row r="1422" spans="3:3" outlineLevel="1" x14ac:dyDescent="0.2">
      <c r="C1422" s="712">
        <v>40815</v>
      </c>
    </row>
    <row r="1423" spans="3:3" outlineLevel="1" x14ac:dyDescent="0.2">
      <c r="C1423" s="712">
        <v>40816</v>
      </c>
    </row>
    <row r="1424" spans="3:3" outlineLevel="1" x14ac:dyDescent="0.2">
      <c r="C1424" s="712">
        <v>40817</v>
      </c>
    </row>
    <row r="1425" spans="3:3" outlineLevel="1" x14ac:dyDescent="0.2">
      <c r="C1425" s="712">
        <v>40818</v>
      </c>
    </row>
    <row r="1426" spans="3:3" outlineLevel="1" x14ac:dyDescent="0.2">
      <c r="C1426" s="712">
        <v>40819</v>
      </c>
    </row>
    <row r="1427" spans="3:3" outlineLevel="1" x14ac:dyDescent="0.2">
      <c r="C1427" s="712">
        <v>40820</v>
      </c>
    </row>
    <row r="1428" spans="3:3" outlineLevel="1" x14ac:dyDescent="0.2">
      <c r="C1428" s="712">
        <v>40821</v>
      </c>
    </row>
    <row r="1429" spans="3:3" outlineLevel="1" x14ac:dyDescent="0.2">
      <c r="C1429" s="712">
        <v>40822</v>
      </c>
    </row>
    <row r="1430" spans="3:3" outlineLevel="1" x14ac:dyDescent="0.2">
      <c r="C1430" s="712">
        <v>40823</v>
      </c>
    </row>
    <row r="1431" spans="3:3" outlineLevel="1" x14ac:dyDescent="0.2">
      <c r="C1431" s="712">
        <v>40824</v>
      </c>
    </row>
    <row r="1432" spans="3:3" outlineLevel="1" x14ac:dyDescent="0.2">
      <c r="C1432" s="712">
        <v>40825</v>
      </c>
    </row>
    <row r="1433" spans="3:3" outlineLevel="1" x14ac:dyDescent="0.2">
      <c r="C1433" s="712">
        <v>40826</v>
      </c>
    </row>
    <row r="1434" spans="3:3" outlineLevel="1" x14ac:dyDescent="0.2">
      <c r="C1434" s="712">
        <v>40827</v>
      </c>
    </row>
    <row r="1435" spans="3:3" outlineLevel="1" x14ac:dyDescent="0.2">
      <c r="C1435" s="712">
        <v>40828</v>
      </c>
    </row>
    <row r="1436" spans="3:3" outlineLevel="1" x14ac:dyDescent="0.2">
      <c r="C1436" s="712">
        <v>40829</v>
      </c>
    </row>
    <row r="1437" spans="3:3" outlineLevel="1" x14ac:dyDescent="0.2">
      <c r="C1437" s="712">
        <v>40830</v>
      </c>
    </row>
    <row r="1438" spans="3:3" outlineLevel="1" x14ac:dyDescent="0.2">
      <c r="C1438" s="712">
        <v>40831</v>
      </c>
    </row>
    <row r="1439" spans="3:3" outlineLevel="1" x14ac:dyDescent="0.2">
      <c r="C1439" s="712">
        <v>40832</v>
      </c>
    </row>
    <row r="1440" spans="3:3" outlineLevel="1" x14ac:dyDescent="0.2">
      <c r="C1440" s="712">
        <v>40833</v>
      </c>
    </row>
    <row r="1441" spans="3:3" outlineLevel="1" x14ac:dyDescent="0.2">
      <c r="C1441" s="712">
        <v>40834</v>
      </c>
    </row>
    <row r="1442" spans="3:3" outlineLevel="1" x14ac:dyDescent="0.2">
      <c r="C1442" s="712">
        <v>40835</v>
      </c>
    </row>
    <row r="1443" spans="3:3" outlineLevel="1" x14ac:dyDescent="0.2">
      <c r="C1443" s="712">
        <v>40836</v>
      </c>
    </row>
    <row r="1444" spans="3:3" outlineLevel="1" x14ac:dyDescent="0.2">
      <c r="C1444" s="712">
        <v>40837</v>
      </c>
    </row>
    <row r="1445" spans="3:3" outlineLevel="1" x14ac:dyDescent="0.2">
      <c r="C1445" s="712">
        <v>40838</v>
      </c>
    </row>
    <row r="1446" spans="3:3" outlineLevel="1" x14ac:dyDescent="0.2">
      <c r="C1446" s="712">
        <v>40839</v>
      </c>
    </row>
    <row r="1447" spans="3:3" outlineLevel="1" x14ac:dyDescent="0.2">
      <c r="C1447" s="712">
        <v>40840</v>
      </c>
    </row>
    <row r="1448" spans="3:3" outlineLevel="1" x14ac:dyDescent="0.2">
      <c r="C1448" s="712">
        <v>40841</v>
      </c>
    </row>
    <row r="1449" spans="3:3" outlineLevel="1" x14ac:dyDescent="0.2">
      <c r="C1449" s="712">
        <v>40842</v>
      </c>
    </row>
    <row r="1450" spans="3:3" outlineLevel="1" x14ac:dyDescent="0.2">
      <c r="C1450" s="712">
        <v>40843</v>
      </c>
    </row>
    <row r="1451" spans="3:3" outlineLevel="1" x14ac:dyDescent="0.2">
      <c r="C1451" s="712">
        <v>40844</v>
      </c>
    </row>
    <row r="1452" spans="3:3" outlineLevel="1" x14ac:dyDescent="0.2">
      <c r="C1452" s="712">
        <v>40845</v>
      </c>
    </row>
    <row r="1453" spans="3:3" outlineLevel="1" x14ac:dyDescent="0.2">
      <c r="C1453" s="712">
        <v>40846</v>
      </c>
    </row>
    <row r="1454" spans="3:3" outlineLevel="1" x14ac:dyDescent="0.2">
      <c r="C1454" s="712">
        <v>40847</v>
      </c>
    </row>
    <row r="1455" spans="3:3" outlineLevel="1" x14ac:dyDescent="0.2">
      <c r="C1455" s="712">
        <v>40848</v>
      </c>
    </row>
    <row r="1456" spans="3:3" outlineLevel="1" x14ac:dyDescent="0.2">
      <c r="C1456" s="712">
        <v>40849</v>
      </c>
    </row>
    <row r="1457" spans="1:11" outlineLevel="1" x14ac:dyDescent="0.2">
      <c r="C1457" s="712">
        <v>40850</v>
      </c>
    </row>
    <row r="1458" spans="1:11" outlineLevel="1" x14ac:dyDescent="0.2">
      <c r="C1458" s="712">
        <v>40851</v>
      </c>
    </row>
    <row r="1459" spans="1:11" outlineLevel="1" x14ac:dyDescent="0.2">
      <c r="C1459" s="712">
        <v>40852</v>
      </c>
    </row>
    <row r="1460" spans="1:11" outlineLevel="1" x14ac:dyDescent="0.2">
      <c r="C1460" s="712">
        <v>40853</v>
      </c>
    </row>
    <row r="1461" spans="1:11" outlineLevel="1" x14ac:dyDescent="0.2">
      <c r="C1461" s="712">
        <v>40854</v>
      </c>
    </row>
    <row r="1462" spans="1:11" outlineLevel="1" x14ac:dyDescent="0.2">
      <c r="C1462" s="712">
        <v>40855</v>
      </c>
    </row>
    <row r="1463" spans="1:11" outlineLevel="1" x14ac:dyDescent="0.2">
      <c r="C1463" s="712">
        <v>40856</v>
      </c>
    </row>
    <row r="1464" spans="1:11" outlineLevel="1" x14ac:dyDescent="0.2">
      <c r="C1464" s="712">
        <v>40857</v>
      </c>
    </row>
    <row r="1465" spans="1:11" outlineLevel="1" x14ac:dyDescent="0.2">
      <c r="C1465" s="712">
        <v>40858</v>
      </c>
    </row>
    <row r="1466" spans="1:11" outlineLevel="1" x14ac:dyDescent="0.2">
      <c r="C1466" s="712">
        <v>40859</v>
      </c>
    </row>
    <row r="1467" spans="1:11" s="790" customFormat="1" outlineLevel="1" x14ac:dyDescent="0.2">
      <c r="A1467" s="807"/>
      <c r="B1467" s="788"/>
      <c r="C1467" s="789">
        <v>40860</v>
      </c>
      <c r="D1467" s="611" t="s">
        <v>2446</v>
      </c>
      <c r="E1467" s="611" t="s">
        <v>3116</v>
      </c>
      <c r="F1467" s="611" t="s">
        <v>1622</v>
      </c>
      <c r="H1467" s="791">
        <v>-10000</v>
      </c>
      <c r="I1467" s="893"/>
      <c r="J1467" s="894"/>
      <c r="K1467" s="611" t="s">
        <v>2957</v>
      </c>
    </row>
    <row r="1468" spans="1:11" outlineLevel="1" x14ac:dyDescent="0.2">
      <c r="C1468" s="712">
        <v>40861</v>
      </c>
    </row>
    <row r="1469" spans="1:11" outlineLevel="1" x14ac:dyDescent="0.2">
      <c r="C1469" s="712">
        <v>40862</v>
      </c>
    </row>
    <row r="1470" spans="1:11" outlineLevel="1" x14ac:dyDescent="0.2">
      <c r="C1470" s="712">
        <v>40863</v>
      </c>
    </row>
    <row r="1471" spans="1:11" outlineLevel="1" x14ac:dyDescent="0.2">
      <c r="C1471" s="712">
        <v>40864</v>
      </c>
    </row>
    <row r="1472" spans="1:11" outlineLevel="1" x14ac:dyDescent="0.2">
      <c r="C1472" s="712">
        <v>40865</v>
      </c>
    </row>
    <row r="1473" spans="1:11" outlineLevel="1" x14ac:dyDescent="0.2">
      <c r="C1473" s="712">
        <v>40866</v>
      </c>
    </row>
    <row r="1474" spans="1:11" outlineLevel="1" x14ac:dyDescent="0.2">
      <c r="C1474" s="712">
        <v>40867</v>
      </c>
    </row>
    <row r="1475" spans="1:11" outlineLevel="1" x14ac:dyDescent="0.2">
      <c r="C1475" s="712">
        <v>40868</v>
      </c>
    </row>
    <row r="1476" spans="1:11" outlineLevel="1" x14ac:dyDescent="0.2">
      <c r="C1476" s="712">
        <v>40869</v>
      </c>
    </row>
    <row r="1477" spans="1:11" outlineLevel="1" x14ac:dyDescent="0.2">
      <c r="C1477" s="712">
        <v>40870</v>
      </c>
    </row>
    <row r="1478" spans="1:11" outlineLevel="1" x14ac:dyDescent="0.2">
      <c r="C1478" s="712">
        <v>40871</v>
      </c>
    </row>
    <row r="1479" spans="1:11" outlineLevel="1" x14ac:dyDescent="0.2">
      <c r="C1479" s="712">
        <v>40872</v>
      </c>
    </row>
    <row r="1480" spans="1:11" outlineLevel="1" x14ac:dyDescent="0.2">
      <c r="C1480" s="712">
        <v>40873</v>
      </c>
    </row>
    <row r="1481" spans="1:11" outlineLevel="1" x14ac:dyDescent="0.2">
      <c r="C1481" s="712">
        <v>40874</v>
      </c>
    </row>
    <row r="1482" spans="1:11" outlineLevel="1" x14ac:dyDescent="0.2">
      <c r="C1482" s="712">
        <v>40875</v>
      </c>
    </row>
    <row r="1483" spans="1:11" s="790" customFormat="1" outlineLevel="1" x14ac:dyDescent="0.2">
      <c r="A1483" s="807"/>
      <c r="B1483" s="788"/>
      <c r="C1483" s="789">
        <v>40876</v>
      </c>
      <c r="D1483" s="611" t="s">
        <v>2446</v>
      </c>
      <c r="E1483" s="611" t="s">
        <v>3126</v>
      </c>
      <c r="F1483" s="611" t="s">
        <v>1622</v>
      </c>
      <c r="H1483" s="791">
        <v>-34000</v>
      </c>
      <c r="I1483" s="893"/>
      <c r="J1483" s="894"/>
      <c r="K1483" s="611" t="s">
        <v>2957</v>
      </c>
    </row>
    <row r="1484" spans="1:11" outlineLevel="1" x14ac:dyDescent="0.2">
      <c r="C1484" s="712">
        <v>40877</v>
      </c>
    </row>
    <row r="1485" spans="1:11" outlineLevel="1" x14ac:dyDescent="0.2">
      <c r="C1485" s="712">
        <v>40878</v>
      </c>
    </row>
    <row r="1486" spans="1:11" outlineLevel="1" x14ac:dyDescent="0.2">
      <c r="C1486" s="712">
        <v>40879</v>
      </c>
    </row>
    <row r="1487" spans="1:11" outlineLevel="1" x14ac:dyDescent="0.2">
      <c r="C1487" s="712">
        <v>40880</v>
      </c>
    </row>
    <row r="1488" spans="1:11" outlineLevel="1" x14ac:dyDescent="0.2">
      <c r="C1488" s="712">
        <v>40881</v>
      </c>
    </row>
    <row r="1489" spans="3:3" outlineLevel="1" x14ac:dyDescent="0.2">
      <c r="C1489" s="712">
        <v>40882</v>
      </c>
    </row>
    <row r="1490" spans="3:3" outlineLevel="1" x14ac:dyDescent="0.2">
      <c r="C1490" s="712">
        <v>40883</v>
      </c>
    </row>
    <row r="1491" spans="3:3" outlineLevel="1" x14ac:dyDescent="0.2">
      <c r="C1491" s="712">
        <v>40884</v>
      </c>
    </row>
    <row r="1492" spans="3:3" outlineLevel="1" x14ac:dyDescent="0.2">
      <c r="C1492" s="712">
        <v>40885</v>
      </c>
    </row>
    <row r="1493" spans="3:3" outlineLevel="1" x14ac:dyDescent="0.2">
      <c r="C1493" s="712">
        <v>40886</v>
      </c>
    </row>
    <row r="1494" spans="3:3" outlineLevel="1" x14ac:dyDescent="0.2">
      <c r="C1494" s="712">
        <v>40887</v>
      </c>
    </row>
    <row r="1495" spans="3:3" outlineLevel="1" x14ac:dyDescent="0.2">
      <c r="C1495" s="712">
        <v>40888</v>
      </c>
    </row>
    <row r="1496" spans="3:3" outlineLevel="1" x14ac:dyDescent="0.2">
      <c r="C1496" s="712">
        <v>40889</v>
      </c>
    </row>
    <row r="1497" spans="3:3" outlineLevel="1" x14ac:dyDescent="0.2">
      <c r="C1497" s="712">
        <v>40890</v>
      </c>
    </row>
    <row r="1498" spans="3:3" outlineLevel="1" x14ac:dyDescent="0.2">
      <c r="C1498" s="712">
        <v>40891</v>
      </c>
    </row>
    <row r="1499" spans="3:3" outlineLevel="1" x14ac:dyDescent="0.2">
      <c r="C1499" s="712">
        <v>40892</v>
      </c>
    </row>
    <row r="1500" spans="3:3" outlineLevel="1" x14ac:dyDescent="0.2">
      <c r="C1500" s="712">
        <v>40893</v>
      </c>
    </row>
    <row r="1501" spans="3:3" outlineLevel="1" x14ac:dyDescent="0.2">
      <c r="C1501" s="712">
        <v>40894</v>
      </c>
    </row>
    <row r="1502" spans="3:3" outlineLevel="1" x14ac:dyDescent="0.2">
      <c r="C1502" s="712">
        <v>40895</v>
      </c>
    </row>
    <row r="1503" spans="3:3" outlineLevel="1" x14ac:dyDescent="0.2">
      <c r="C1503" s="712">
        <v>40896</v>
      </c>
    </row>
    <row r="1504" spans="3:3" outlineLevel="1" x14ac:dyDescent="0.2">
      <c r="C1504" s="712">
        <v>40897</v>
      </c>
    </row>
    <row r="1505" spans="1:11" outlineLevel="1" x14ac:dyDescent="0.2">
      <c r="C1505" s="712">
        <v>40898</v>
      </c>
    </row>
    <row r="1506" spans="1:11" outlineLevel="1" x14ac:dyDescent="0.2">
      <c r="C1506" s="712">
        <v>40899</v>
      </c>
    </row>
    <row r="1507" spans="1:11" outlineLevel="1" x14ac:dyDescent="0.2">
      <c r="C1507" s="712">
        <v>40900</v>
      </c>
    </row>
    <row r="1508" spans="1:11" outlineLevel="1" x14ac:dyDescent="0.2">
      <c r="C1508" s="712">
        <v>40901</v>
      </c>
    </row>
    <row r="1509" spans="1:11" outlineLevel="1" x14ac:dyDescent="0.2">
      <c r="C1509" s="712">
        <v>40902</v>
      </c>
    </row>
    <row r="1510" spans="1:11" outlineLevel="1" x14ac:dyDescent="0.2">
      <c r="C1510" s="712">
        <v>40903</v>
      </c>
    </row>
    <row r="1511" spans="1:11" outlineLevel="1" x14ac:dyDescent="0.2">
      <c r="C1511" s="712">
        <v>40904</v>
      </c>
    </row>
    <row r="1512" spans="1:11" outlineLevel="1" x14ac:dyDescent="0.2">
      <c r="C1512" s="712">
        <v>40905</v>
      </c>
    </row>
    <row r="1513" spans="1:11" outlineLevel="1" x14ac:dyDescent="0.2">
      <c r="C1513" s="712">
        <v>40906</v>
      </c>
    </row>
    <row r="1514" spans="1:11" outlineLevel="1" x14ac:dyDescent="0.2">
      <c r="C1514" s="712">
        <v>40907</v>
      </c>
    </row>
    <row r="1515" spans="1:11" outlineLevel="1" x14ac:dyDescent="0.2">
      <c r="C1515" s="712">
        <v>40908</v>
      </c>
    </row>
    <row r="1516" spans="1:11" ht="13.5" outlineLevel="1" thickBot="1" x14ac:dyDescent="0.25">
      <c r="C1516" s="712"/>
    </row>
    <row r="1517" spans="1:11" s="730" customFormat="1" ht="13.5" thickBot="1" x14ac:dyDescent="0.25">
      <c r="A1517" s="808"/>
      <c r="B1517" s="728"/>
      <c r="C1517" s="729" t="s">
        <v>2658</v>
      </c>
      <c r="H1517" s="731">
        <f>SUM(H1149:H1515)</f>
        <v>-13110</v>
      </c>
      <c r="I1517" s="732"/>
      <c r="J1517" s="732"/>
      <c r="K1517" s="732"/>
    </row>
  </sheetData>
  <autoFilter ref="A1:K1517" xr:uid="{00000000-0009-0000-0000-00000C000000}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Munka24">
    <tabColor rgb="FF00B050"/>
  </sheetPr>
  <dimension ref="B1:D24"/>
  <sheetViews>
    <sheetView topLeftCell="A4" workbookViewId="0">
      <selection activeCell="D7" sqref="D7"/>
    </sheetView>
  </sheetViews>
  <sheetFormatPr defaultRowHeight="12.75" x14ac:dyDescent="0.2"/>
  <cols>
    <col min="1" max="1" width="5" customWidth="1"/>
    <col min="2" max="2" width="42.85546875" bestFit="1" customWidth="1"/>
    <col min="3" max="3" width="15" customWidth="1"/>
    <col min="4" max="4" width="13.85546875" customWidth="1"/>
  </cols>
  <sheetData>
    <row r="1" spans="2:4" x14ac:dyDescent="0.2">
      <c r="B1" t="s">
        <v>3074</v>
      </c>
      <c r="C1" t="s">
        <v>3073</v>
      </c>
    </row>
    <row r="2" spans="2:4" x14ac:dyDescent="0.2">
      <c r="B2" s="718" t="s">
        <v>2966</v>
      </c>
      <c r="C2">
        <v>1</v>
      </c>
      <c r="D2" t="s">
        <v>3072</v>
      </c>
    </row>
    <row r="3" spans="2:4" x14ac:dyDescent="0.2">
      <c r="B3" s="718" t="s">
        <v>2985</v>
      </c>
      <c r="C3">
        <v>1</v>
      </c>
      <c r="D3" t="s">
        <v>3072</v>
      </c>
    </row>
    <row r="4" spans="2:4" x14ac:dyDescent="0.2">
      <c r="B4" s="718" t="s">
        <v>2967</v>
      </c>
      <c r="C4">
        <v>1</v>
      </c>
      <c r="D4" t="s">
        <v>3072</v>
      </c>
    </row>
    <row r="5" spans="2:4" x14ac:dyDescent="0.2">
      <c r="B5" s="718" t="s">
        <v>3027</v>
      </c>
      <c r="C5">
        <v>1</v>
      </c>
      <c r="D5" t="s">
        <v>3072</v>
      </c>
    </row>
    <row r="6" spans="2:4" x14ac:dyDescent="0.2">
      <c r="B6" s="718" t="s">
        <v>3075</v>
      </c>
      <c r="C6">
        <v>2</v>
      </c>
      <c r="D6" t="s">
        <v>3072</v>
      </c>
    </row>
    <row r="7" spans="2:4" x14ac:dyDescent="0.2">
      <c r="B7" s="718" t="s">
        <v>2984</v>
      </c>
      <c r="C7">
        <v>2</v>
      </c>
    </row>
    <row r="8" spans="2:4" x14ac:dyDescent="0.2">
      <c r="B8" s="718" t="s">
        <v>2969</v>
      </c>
      <c r="C8">
        <v>2</v>
      </c>
      <c r="D8" t="s">
        <v>3072</v>
      </c>
    </row>
    <row r="9" spans="2:4" x14ac:dyDescent="0.2">
      <c r="B9" s="718" t="s">
        <v>2971</v>
      </c>
      <c r="C9">
        <v>2</v>
      </c>
    </row>
    <row r="10" spans="2:4" x14ac:dyDescent="0.2">
      <c r="B10" s="718" t="s">
        <v>2972</v>
      </c>
      <c r="C10">
        <v>2</v>
      </c>
    </row>
    <row r="11" spans="2:4" x14ac:dyDescent="0.2">
      <c r="B11" s="718" t="s">
        <v>2973</v>
      </c>
      <c r="C11">
        <v>2</v>
      </c>
    </row>
    <row r="12" spans="2:4" x14ac:dyDescent="0.2">
      <c r="B12" s="718" t="s">
        <v>2983</v>
      </c>
      <c r="C12">
        <v>2</v>
      </c>
      <c r="D12" t="s">
        <v>3072</v>
      </c>
    </row>
    <row r="13" spans="2:4" x14ac:dyDescent="0.2">
      <c r="B13" s="718" t="s">
        <v>2974</v>
      </c>
      <c r="C13">
        <v>2</v>
      </c>
    </row>
    <row r="14" spans="2:4" x14ac:dyDescent="0.2">
      <c r="B14" s="718" t="s">
        <v>2975</v>
      </c>
      <c r="C14">
        <v>2</v>
      </c>
      <c r="D14" t="s">
        <v>3072</v>
      </c>
    </row>
    <row r="15" spans="2:4" x14ac:dyDescent="0.2">
      <c r="B15" s="718" t="s">
        <v>2970</v>
      </c>
      <c r="C15">
        <v>3</v>
      </c>
      <c r="D15" t="s">
        <v>3072</v>
      </c>
    </row>
    <row r="16" spans="2:4" x14ac:dyDescent="0.2">
      <c r="B16" s="718" t="s">
        <v>2976</v>
      </c>
      <c r="C16">
        <v>3</v>
      </c>
    </row>
    <row r="17" spans="2:4" x14ac:dyDescent="0.2">
      <c r="B17" s="718" t="s">
        <v>3011</v>
      </c>
      <c r="C17">
        <v>3</v>
      </c>
      <c r="D17" t="s">
        <v>3072</v>
      </c>
    </row>
    <row r="18" spans="2:4" x14ac:dyDescent="0.2">
      <c r="B18" s="718" t="s">
        <v>3026</v>
      </c>
      <c r="C18">
        <v>3</v>
      </c>
      <c r="D18" t="s">
        <v>3072</v>
      </c>
    </row>
    <row r="19" spans="2:4" x14ac:dyDescent="0.2">
      <c r="B19" s="718" t="s">
        <v>3028</v>
      </c>
      <c r="C19">
        <v>3</v>
      </c>
    </row>
    <row r="20" spans="2:4" x14ac:dyDescent="0.2">
      <c r="B20" s="718" t="s">
        <v>2986</v>
      </c>
      <c r="C20">
        <v>4</v>
      </c>
    </row>
    <row r="21" spans="2:4" x14ac:dyDescent="0.2">
      <c r="B21" s="718" t="s">
        <v>2987</v>
      </c>
      <c r="C21">
        <v>4</v>
      </c>
      <c r="D21" t="s">
        <v>3072</v>
      </c>
    </row>
    <row r="22" spans="2:4" x14ac:dyDescent="0.2">
      <c r="B22" s="718" t="s">
        <v>2977</v>
      </c>
      <c r="C22">
        <v>4</v>
      </c>
      <c r="D22" t="s">
        <v>3072</v>
      </c>
    </row>
    <row r="23" spans="2:4" x14ac:dyDescent="0.2">
      <c r="B23" s="718" t="s">
        <v>2875</v>
      </c>
      <c r="C23">
        <v>4</v>
      </c>
      <c r="D23" t="s">
        <v>3072</v>
      </c>
    </row>
    <row r="24" spans="2:4" x14ac:dyDescent="0.2">
      <c r="B24" s="718" t="s">
        <v>2968</v>
      </c>
      <c r="C24">
        <v>4</v>
      </c>
    </row>
  </sheetData>
  <sortState ref="B2:D24">
    <sortCondition ref="C2:C24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unka25"/>
  <dimension ref="A3:K181"/>
  <sheetViews>
    <sheetView topLeftCell="A16" zoomScaleNormal="100" workbookViewId="0">
      <selection activeCell="J33" sqref="J33"/>
    </sheetView>
  </sheetViews>
  <sheetFormatPr defaultRowHeight="12.75" x14ac:dyDescent="0.2"/>
  <cols>
    <col min="1" max="1" width="9.140625" style="970"/>
    <col min="2" max="2" width="18.28515625" style="970" customWidth="1"/>
    <col min="3" max="3" width="15.140625" style="970" customWidth="1"/>
    <col min="4" max="4" width="18.85546875" style="970" customWidth="1"/>
    <col min="5" max="5" width="12.5703125" style="819" customWidth="1"/>
    <col min="6" max="6" width="13.7109375" style="358" customWidth="1"/>
    <col min="7" max="7" width="21" style="958" bestFit="1" customWidth="1"/>
    <col min="8" max="8" width="15.5703125" style="819" customWidth="1"/>
    <col min="9" max="9" width="19.42578125" style="819" customWidth="1"/>
    <col min="10" max="10" width="11.7109375" style="970" customWidth="1"/>
    <col min="11" max="16384" width="9.140625" style="819"/>
  </cols>
  <sheetData>
    <row r="3" spans="2:10" x14ac:dyDescent="0.2">
      <c r="B3" s="970" t="s">
        <v>2527</v>
      </c>
      <c r="C3" s="970" t="s">
        <v>2528</v>
      </c>
      <c r="D3" s="970" t="s">
        <v>2529</v>
      </c>
      <c r="E3" s="819" t="s">
        <v>2530</v>
      </c>
      <c r="F3" s="358" t="s">
        <v>2548</v>
      </c>
    </row>
    <row r="4" spans="2:10" x14ac:dyDescent="0.2">
      <c r="B4" s="970" t="s">
        <v>2531</v>
      </c>
      <c r="C4" s="970" t="s">
        <v>2532</v>
      </c>
      <c r="D4" s="970" t="s">
        <v>2529</v>
      </c>
      <c r="E4" s="819" t="s">
        <v>898</v>
      </c>
      <c r="F4" s="358" t="s">
        <v>2549</v>
      </c>
    </row>
    <row r="5" spans="2:10" x14ac:dyDescent="0.2">
      <c r="B5" s="995" t="s">
        <v>2533</v>
      </c>
      <c r="C5" s="995" t="s">
        <v>2534</v>
      </c>
      <c r="D5" s="995" t="s">
        <v>2550</v>
      </c>
      <c r="E5" s="820" t="s">
        <v>2535</v>
      </c>
      <c r="F5" s="998" t="s">
        <v>2549</v>
      </c>
    </row>
    <row r="6" spans="2:10" x14ac:dyDescent="0.2">
      <c r="B6" s="970" t="s">
        <v>2538</v>
      </c>
      <c r="C6" s="970" t="s">
        <v>2536</v>
      </c>
      <c r="E6" s="819" t="s">
        <v>2537</v>
      </c>
      <c r="F6" s="358" t="s">
        <v>2549</v>
      </c>
    </row>
    <row r="7" spans="2:10" x14ac:dyDescent="0.2">
      <c r="B7" s="995" t="s">
        <v>2539</v>
      </c>
      <c r="C7" s="995"/>
      <c r="D7" s="995"/>
      <c r="E7" s="820" t="s">
        <v>2541</v>
      </c>
      <c r="F7" s="998" t="s">
        <v>2547</v>
      </c>
      <c r="G7" s="959" t="s">
        <v>2540</v>
      </c>
    </row>
    <row r="8" spans="2:10" x14ac:dyDescent="0.2">
      <c r="B8" s="995"/>
      <c r="C8" s="995" t="s">
        <v>13</v>
      </c>
      <c r="D8" s="995"/>
      <c r="E8" s="820" t="s">
        <v>2542</v>
      </c>
      <c r="F8" s="998" t="s">
        <v>898</v>
      </c>
      <c r="G8" s="959"/>
    </row>
    <row r="9" spans="2:10" x14ac:dyDescent="0.2">
      <c r="B9" s="995" t="s">
        <v>2545</v>
      </c>
      <c r="C9" s="995" t="s">
        <v>2543</v>
      </c>
      <c r="D9" s="995"/>
      <c r="E9" s="820" t="s">
        <v>2544</v>
      </c>
      <c r="F9" s="998"/>
      <c r="G9" s="960" t="s">
        <v>2546</v>
      </c>
    </row>
    <row r="10" spans="2:10" x14ac:dyDescent="0.2">
      <c r="B10" s="970" t="s">
        <v>3081</v>
      </c>
      <c r="C10" s="970" t="s">
        <v>3082</v>
      </c>
      <c r="D10" s="970" t="s">
        <v>3083</v>
      </c>
      <c r="E10" s="819" t="s">
        <v>3084</v>
      </c>
      <c r="G10" s="961" t="s">
        <v>3085</v>
      </c>
    </row>
    <row r="13" spans="2:10" x14ac:dyDescent="0.2">
      <c r="G13" s="958" t="s">
        <v>3092</v>
      </c>
      <c r="H13" s="819" t="s">
        <v>3093</v>
      </c>
      <c r="I13" s="819" t="s">
        <v>656</v>
      </c>
    </row>
    <row r="14" spans="2:10" x14ac:dyDescent="0.2">
      <c r="E14" s="819" t="s">
        <v>3114</v>
      </c>
      <c r="F14" s="358" t="s">
        <v>3094</v>
      </c>
      <c r="G14" s="962">
        <v>16</v>
      </c>
      <c r="H14" s="358">
        <v>0</v>
      </c>
      <c r="I14" s="358">
        <f t="shared" ref="I14:I20" si="0">G14*15+H14*35</f>
        <v>240</v>
      </c>
    </row>
    <row r="15" spans="2:10" x14ac:dyDescent="0.2">
      <c r="E15" s="819" t="s">
        <v>3115</v>
      </c>
      <c r="F15" s="358" t="s">
        <v>3095</v>
      </c>
      <c r="G15" s="962">
        <v>8</v>
      </c>
      <c r="H15" s="358">
        <v>8</v>
      </c>
      <c r="I15" s="358">
        <f t="shared" si="0"/>
        <v>400</v>
      </c>
      <c r="J15" s="970">
        <v>20000</v>
      </c>
    </row>
    <row r="16" spans="2:10" x14ac:dyDescent="0.2">
      <c r="E16" s="819" t="s">
        <v>3110</v>
      </c>
      <c r="F16" s="358" t="s">
        <v>3113</v>
      </c>
      <c r="G16" s="962">
        <v>2</v>
      </c>
      <c r="H16" s="358">
        <v>0</v>
      </c>
      <c r="I16" s="358">
        <f t="shared" si="0"/>
        <v>30</v>
      </c>
      <c r="J16" s="970">
        <v>2000</v>
      </c>
    </row>
    <row r="17" spans="1:11" x14ac:dyDescent="0.2">
      <c r="E17" s="819" t="s">
        <v>3110</v>
      </c>
      <c r="F17" s="358" t="s">
        <v>3225</v>
      </c>
      <c r="G17" s="962">
        <v>20</v>
      </c>
      <c r="H17" s="358">
        <v>0</v>
      </c>
      <c r="I17" s="358">
        <f t="shared" si="0"/>
        <v>300</v>
      </c>
      <c r="J17" s="970">
        <v>20000</v>
      </c>
    </row>
    <row r="18" spans="1:11" x14ac:dyDescent="0.2">
      <c r="E18" s="819" t="s">
        <v>3241</v>
      </c>
      <c r="F18" s="358" t="s">
        <v>3242</v>
      </c>
      <c r="G18" s="962">
        <v>6</v>
      </c>
      <c r="H18" s="358">
        <v>0</v>
      </c>
      <c r="I18" s="358">
        <f t="shared" si="0"/>
        <v>90</v>
      </c>
      <c r="J18" s="970">
        <v>6000</v>
      </c>
    </row>
    <row r="19" spans="1:11" x14ac:dyDescent="0.2">
      <c r="E19" s="819" t="s">
        <v>3110</v>
      </c>
      <c r="F19" s="358" t="s">
        <v>3244</v>
      </c>
      <c r="G19" s="962">
        <v>10</v>
      </c>
      <c r="H19" s="358">
        <v>0</v>
      </c>
      <c r="I19" s="358">
        <f t="shared" si="0"/>
        <v>150</v>
      </c>
      <c r="J19" s="970">
        <v>10000</v>
      </c>
    </row>
    <row r="20" spans="1:11" x14ac:dyDescent="0.2">
      <c r="E20" s="819" t="s">
        <v>3241</v>
      </c>
      <c r="F20" s="358" t="s">
        <v>3243</v>
      </c>
      <c r="G20" s="962">
        <v>10</v>
      </c>
      <c r="H20" s="358">
        <v>0</v>
      </c>
      <c r="I20" s="358">
        <f t="shared" si="0"/>
        <v>150</v>
      </c>
      <c r="J20" s="970">
        <v>10000</v>
      </c>
    </row>
    <row r="21" spans="1:11" x14ac:dyDescent="0.2">
      <c r="E21" s="819" t="s">
        <v>3241</v>
      </c>
      <c r="F21" s="358" t="s">
        <v>3257</v>
      </c>
      <c r="G21" s="962">
        <v>10</v>
      </c>
      <c r="H21" s="358">
        <v>0</v>
      </c>
      <c r="I21" s="358">
        <f>G21*15+H21*35</f>
        <v>150</v>
      </c>
      <c r="J21" s="970">
        <v>10000</v>
      </c>
    </row>
    <row r="22" spans="1:11" x14ac:dyDescent="0.2">
      <c r="G22" s="962"/>
      <c r="H22" s="358"/>
      <c r="I22" s="358"/>
    </row>
    <row r="24" spans="1:11" x14ac:dyDescent="0.2">
      <c r="E24" s="819" t="s">
        <v>2937</v>
      </c>
      <c r="F24" s="358" t="s">
        <v>3121</v>
      </c>
      <c r="G24" s="962">
        <v>14</v>
      </c>
      <c r="H24" s="358">
        <v>8</v>
      </c>
      <c r="I24" s="358">
        <f>G24*15+H24*35</f>
        <v>490</v>
      </c>
    </row>
    <row r="25" spans="1:11" x14ac:dyDescent="0.2">
      <c r="E25" s="819" t="s">
        <v>2937</v>
      </c>
      <c r="F25" s="358" t="s">
        <v>3141</v>
      </c>
      <c r="G25" s="962">
        <v>4</v>
      </c>
      <c r="H25" s="358">
        <v>8</v>
      </c>
      <c r="I25" s="358">
        <f>G25*15+H25*35</f>
        <v>340</v>
      </c>
    </row>
    <row r="26" spans="1:11" x14ac:dyDescent="0.2">
      <c r="E26" s="819" t="s">
        <v>2937</v>
      </c>
      <c r="F26" s="358" t="s">
        <v>3168</v>
      </c>
      <c r="G26" s="962">
        <v>0</v>
      </c>
      <c r="H26" s="358">
        <v>6.3</v>
      </c>
      <c r="I26" s="358">
        <f>G26*15+H26*35</f>
        <v>220.5</v>
      </c>
    </row>
    <row r="27" spans="1:11" ht="13.5" thickBot="1" x14ac:dyDescent="0.25">
      <c r="E27" s="819" t="s">
        <v>2937</v>
      </c>
      <c r="F27" s="358" t="s">
        <v>3226</v>
      </c>
      <c r="G27" s="962">
        <v>4</v>
      </c>
      <c r="H27" s="358">
        <v>1.5</v>
      </c>
      <c r="I27" s="358">
        <f>G27*15+H27*35</f>
        <v>112.5</v>
      </c>
    </row>
    <row r="28" spans="1:11" x14ac:dyDescent="0.2">
      <c r="B28" s="970">
        <f>B30+B32+B63+B94+B122+B153</f>
        <v>69</v>
      </c>
      <c r="G28" s="1017" t="s">
        <v>3563</v>
      </c>
      <c r="H28" s="1008"/>
    </row>
    <row r="29" spans="1:11" ht="13.5" thickBot="1" x14ac:dyDescent="0.25">
      <c r="A29" s="970" t="s">
        <v>3422</v>
      </c>
      <c r="B29" s="970" t="s">
        <v>3423</v>
      </c>
      <c r="D29" s="358">
        <v>11</v>
      </c>
      <c r="G29" s="1004" t="s">
        <v>3445</v>
      </c>
      <c r="H29" s="1005"/>
    </row>
    <row r="30" spans="1:11" ht="13.5" thickBot="1" x14ac:dyDescent="0.25">
      <c r="B30" s="992">
        <f>D29</f>
        <v>11</v>
      </c>
      <c r="F30" s="1023">
        <f>SUM(H30:H34)</f>
        <v>6</v>
      </c>
      <c r="G30" s="1024" t="s">
        <v>3442</v>
      </c>
      <c r="H30" s="1025">
        <v>2</v>
      </c>
      <c r="I30" s="1013" t="s">
        <v>3578</v>
      </c>
      <c r="J30" s="996">
        <v>173</v>
      </c>
      <c r="K30" s="1012">
        <v>65</v>
      </c>
    </row>
    <row r="31" spans="1:11" x14ac:dyDescent="0.2">
      <c r="B31" s="970" t="s">
        <v>3424</v>
      </c>
      <c r="C31" s="970">
        <v>1</v>
      </c>
      <c r="G31" s="1024" t="s">
        <v>3444</v>
      </c>
      <c r="H31" s="1025">
        <v>1</v>
      </c>
      <c r="I31" s="1014" t="s">
        <v>3552</v>
      </c>
      <c r="J31" s="1002">
        <f>SUM(H30:H90)</f>
        <v>80</v>
      </c>
      <c r="K31" s="1003">
        <f>J31*15</f>
        <v>1200</v>
      </c>
    </row>
    <row r="32" spans="1:11" ht="13.5" thickBot="1" x14ac:dyDescent="0.25">
      <c r="B32" s="992">
        <f>SUM(D31:D61)</f>
        <v>13</v>
      </c>
      <c r="C32" s="970">
        <v>2</v>
      </c>
      <c r="D32" s="358">
        <v>1</v>
      </c>
      <c r="G32" s="1024" t="s">
        <v>3443</v>
      </c>
      <c r="H32" s="1025">
        <v>1</v>
      </c>
      <c r="I32" s="1015" t="s">
        <v>3559</v>
      </c>
      <c r="J32" s="1007">
        <f>SUM(H94:H170)</f>
        <v>83</v>
      </c>
      <c r="K32" s="997">
        <f>J32*15</f>
        <v>1245</v>
      </c>
    </row>
    <row r="33" spans="3:11" ht="13.5" thickBot="1" x14ac:dyDescent="0.25">
      <c r="C33" s="358">
        <v>3</v>
      </c>
      <c r="G33" s="1024" t="s">
        <v>3446</v>
      </c>
      <c r="H33" s="1025">
        <v>1</v>
      </c>
      <c r="I33" s="1028" t="s">
        <v>3474</v>
      </c>
      <c r="J33" s="1007">
        <f>J30-J31-J32</f>
        <v>10</v>
      </c>
      <c r="K33" s="997">
        <f>J33*15</f>
        <v>150</v>
      </c>
    </row>
    <row r="34" spans="3:11" ht="13.5" thickBot="1" x14ac:dyDescent="0.25">
      <c r="C34" s="358">
        <v>4</v>
      </c>
      <c r="D34" s="358">
        <v>1</v>
      </c>
      <c r="G34" s="1024" t="s">
        <v>3447</v>
      </c>
      <c r="H34" s="1025">
        <v>1</v>
      </c>
      <c r="I34" s="1029"/>
      <c r="J34" s="1009"/>
      <c r="K34" s="1006"/>
    </row>
    <row r="35" spans="3:11" x14ac:dyDescent="0.2">
      <c r="C35" s="358">
        <v>5</v>
      </c>
      <c r="F35" s="1022">
        <f>SUM(H35:H42)</f>
        <v>9</v>
      </c>
      <c r="G35" s="1020" t="s">
        <v>3448</v>
      </c>
      <c r="H35" s="1021">
        <v>1</v>
      </c>
      <c r="I35" s="1016" t="s">
        <v>3553</v>
      </c>
      <c r="J35" s="1010">
        <f>K31*$K$30</f>
        <v>78000</v>
      </c>
      <c r="K35" s="1005"/>
    </row>
    <row r="36" spans="3:11" ht="13.5" thickBot="1" x14ac:dyDescent="0.25">
      <c r="C36" s="358">
        <v>6</v>
      </c>
      <c r="G36" s="1020" t="s">
        <v>3449</v>
      </c>
      <c r="H36" s="1021">
        <v>1</v>
      </c>
      <c r="I36" s="1015" t="s">
        <v>3560</v>
      </c>
      <c r="J36" s="1011">
        <f>K32*$K$30</f>
        <v>80925</v>
      </c>
      <c r="K36" s="1006"/>
    </row>
    <row r="37" spans="3:11" x14ac:dyDescent="0.2">
      <c r="C37" s="358">
        <v>7</v>
      </c>
      <c r="D37" s="358">
        <v>1</v>
      </c>
      <c r="G37" s="1020" t="s">
        <v>3450</v>
      </c>
      <c r="H37" s="1021">
        <v>1</v>
      </c>
    </row>
    <row r="38" spans="3:11" x14ac:dyDescent="0.2">
      <c r="C38" s="358">
        <v>8</v>
      </c>
      <c r="G38" s="1020" t="s">
        <v>3451</v>
      </c>
      <c r="H38" s="1021">
        <v>1</v>
      </c>
    </row>
    <row r="39" spans="3:11" x14ac:dyDescent="0.2">
      <c r="C39" s="358">
        <v>9</v>
      </c>
      <c r="D39" s="358">
        <v>1</v>
      </c>
      <c r="G39" s="1020" t="s">
        <v>3452</v>
      </c>
      <c r="H39" s="1021">
        <v>1</v>
      </c>
      <c r="J39" s="970">
        <v>18</v>
      </c>
    </row>
    <row r="40" spans="3:11" x14ac:dyDescent="0.2">
      <c r="C40" s="358">
        <v>10</v>
      </c>
      <c r="G40" s="1020" t="s">
        <v>3453</v>
      </c>
      <c r="H40" s="1021">
        <v>1</v>
      </c>
      <c r="J40" s="970">
        <v>18</v>
      </c>
    </row>
    <row r="41" spans="3:11" x14ac:dyDescent="0.2">
      <c r="C41" s="358">
        <v>11</v>
      </c>
      <c r="D41" s="358">
        <v>1</v>
      </c>
      <c r="G41" s="1020" t="s">
        <v>3454</v>
      </c>
      <c r="H41" s="1021">
        <v>1</v>
      </c>
      <c r="J41" s="970">
        <v>7</v>
      </c>
    </row>
    <row r="42" spans="3:11" x14ac:dyDescent="0.2">
      <c r="C42" s="358">
        <v>12</v>
      </c>
      <c r="G42" s="1020" t="s">
        <v>3455</v>
      </c>
      <c r="H42" s="1021">
        <v>2</v>
      </c>
      <c r="J42" s="970">
        <f>SUM(J39:J41)</f>
        <v>43</v>
      </c>
    </row>
    <row r="43" spans="3:11" x14ac:dyDescent="0.2">
      <c r="C43" s="358">
        <v>13</v>
      </c>
      <c r="F43" s="1023">
        <f>SUM(H43:H54)</f>
        <v>15</v>
      </c>
      <c r="G43" s="1024" t="s">
        <v>3456</v>
      </c>
      <c r="H43" s="1025">
        <v>1</v>
      </c>
    </row>
    <row r="44" spans="3:11" x14ac:dyDescent="0.2">
      <c r="C44" s="358">
        <v>14</v>
      </c>
      <c r="D44" s="358">
        <v>1</v>
      </c>
      <c r="G44" s="1024" t="s">
        <v>3457</v>
      </c>
      <c r="H44" s="1025">
        <v>2</v>
      </c>
    </row>
    <row r="45" spans="3:11" x14ac:dyDescent="0.2">
      <c r="C45" s="358">
        <v>15</v>
      </c>
      <c r="D45" s="358">
        <v>1</v>
      </c>
      <c r="G45" s="1024" t="s">
        <v>3458</v>
      </c>
      <c r="H45" s="1025">
        <v>2</v>
      </c>
    </row>
    <row r="46" spans="3:11" x14ac:dyDescent="0.2">
      <c r="C46" s="358">
        <v>16</v>
      </c>
      <c r="G46" s="1024" t="s">
        <v>3459</v>
      </c>
      <c r="H46" s="1025">
        <v>1</v>
      </c>
    </row>
    <row r="47" spans="3:11" x14ac:dyDescent="0.2">
      <c r="C47" s="358">
        <v>17</v>
      </c>
      <c r="D47" s="358">
        <v>1</v>
      </c>
      <c r="G47" s="1024" t="s">
        <v>3460</v>
      </c>
      <c r="H47" s="1025">
        <v>1</v>
      </c>
    </row>
    <row r="48" spans="3:11" x14ac:dyDescent="0.2">
      <c r="C48" s="358">
        <v>18</v>
      </c>
      <c r="G48" s="1024" t="s">
        <v>3461</v>
      </c>
      <c r="H48" s="1025">
        <v>1</v>
      </c>
    </row>
    <row r="49" spans="1:8" x14ac:dyDescent="0.2">
      <c r="C49" s="358">
        <v>19</v>
      </c>
      <c r="G49" s="1024" t="s">
        <v>3462</v>
      </c>
      <c r="H49" s="1025">
        <v>1</v>
      </c>
    </row>
    <row r="50" spans="1:8" x14ac:dyDescent="0.2">
      <c r="C50" s="358">
        <v>20</v>
      </c>
      <c r="D50" s="358">
        <v>1</v>
      </c>
      <c r="G50" s="1024" t="s">
        <v>3463</v>
      </c>
      <c r="H50" s="1025">
        <v>1</v>
      </c>
    </row>
    <row r="51" spans="1:8" x14ac:dyDescent="0.2">
      <c r="C51" s="358">
        <v>21</v>
      </c>
      <c r="G51" s="1024" t="s">
        <v>3464</v>
      </c>
      <c r="H51" s="1025">
        <v>2</v>
      </c>
    </row>
    <row r="52" spans="1:8" x14ac:dyDescent="0.2">
      <c r="C52" s="358">
        <v>22</v>
      </c>
      <c r="G52" s="1024" t="s">
        <v>3465</v>
      </c>
      <c r="H52" s="1025">
        <v>1</v>
      </c>
    </row>
    <row r="53" spans="1:8" x14ac:dyDescent="0.2">
      <c r="C53" s="358">
        <v>23</v>
      </c>
      <c r="D53" s="358">
        <v>1</v>
      </c>
      <c r="G53" s="1024" t="s">
        <v>3466</v>
      </c>
      <c r="H53" s="1025">
        <v>1</v>
      </c>
    </row>
    <row r="54" spans="1:8" x14ac:dyDescent="0.2">
      <c r="C54" s="358">
        <v>24</v>
      </c>
      <c r="G54" s="1024" t="s">
        <v>3467</v>
      </c>
      <c r="H54" s="1025">
        <v>1</v>
      </c>
    </row>
    <row r="55" spans="1:8" x14ac:dyDescent="0.2">
      <c r="C55" s="358">
        <v>25</v>
      </c>
      <c r="D55" s="358">
        <v>1</v>
      </c>
      <c r="F55" s="1022">
        <f>SUM(H55:H70)</f>
        <v>22</v>
      </c>
      <c r="G55" s="1020" t="s">
        <v>3468</v>
      </c>
      <c r="H55" s="1021">
        <v>2</v>
      </c>
    </row>
    <row r="56" spans="1:8" x14ac:dyDescent="0.2">
      <c r="C56" s="358">
        <v>26</v>
      </c>
      <c r="G56" s="1020" t="s">
        <v>3469</v>
      </c>
      <c r="H56" s="1021">
        <v>1</v>
      </c>
    </row>
    <row r="57" spans="1:8" x14ac:dyDescent="0.2">
      <c r="C57" s="358">
        <v>27</v>
      </c>
      <c r="G57" s="1020" t="s">
        <v>3470</v>
      </c>
      <c r="H57" s="1021">
        <v>1</v>
      </c>
    </row>
    <row r="58" spans="1:8" x14ac:dyDescent="0.2">
      <c r="C58" s="358">
        <v>28</v>
      </c>
      <c r="G58" s="1020" t="s">
        <v>3471</v>
      </c>
      <c r="H58" s="1021">
        <v>1</v>
      </c>
    </row>
    <row r="59" spans="1:8" x14ac:dyDescent="0.2">
      <c r="C59" s="358">
        <v>29</v>
      </c>
      <c r="D59" s="358">
        <v>1</v>
      </c>
      <c r="G59" s="1020" t="s">
        <v>3472</v>
      </c>
      <c r="H59" s="1021">
        <v>1</v>
      </c>
    </row>
    <row r="60" spans="1:8" x14ac:dyDescent="0.2">
      <c r="C60" s="358">
        <v>30</v>
      </c>
      <c r="D60" s="358">
        <v>1</v>
      </c>
      <c r="G60" s="1020" t="s">
        <v>3473</v>
      </c>
      <c r="H60" s="1021">
        <v>2</v>
      </c>
    </row>
    <row r="61" spans="1:8" x14ac:dyDescent="0.2">
      <c r="C61" s="358">
        <v>31</v>
      </c>
      <c r="G61" s="1020" t="s">
        <v>3475</v>
      </c>
      <c r="H61" s="1021">
        <v>1</v>
      </c>
    </row>
    <row r="62" spans="1:8" x14ac:dyDescent="0.2">
      <c r="A62" s="970" t="s">
        <v>3425</v>
      </c>
      <c r="B62" s="970" t="s">
        <v>3426</v>
      </c>
      <c r="C62" s="358">
        <v>1</v>
      </c>
      <c r="D62" s="358">
        <v>1</v>
      </c>
      <c r="G62" s="1020" t="s">
        <v>3476</v>
      </c>
      <c r="H62" s="1021">
        <v>2</v>
      </c>
    </row>
    <row r="63" spans="1:8" x14ac:dyDescent="0.2">
      <c r="B63" s="992">
        <f>SUM(D62:D92)</f>
        <v>17</v>
      </c>
      <c r="C63" s="358">
        <v>2</v>
      </c>
      <c r="D63" s="358">
        <v>1</v>
      </c>
      <c r="G63" s="1020" t="s">
        <v>3477</v>
      </c>
      <c r="H63" s="1021">
        <v>1</v>
      </c>
    </row>
    <row r="64" spans="1:8" x14ac:dyDescent="0.2">
      <c r="C64" s="358">
        <v>3</v>
      </c>
      <c r="G64" s="1020" t="s">
        <v>3478</v>
      </c>
      <c r="H64" s="1021">
        <v>1</v>
      </c>
    </row>
    <row r="65" spans="3:8" x14ac:dyDescent="0.2">
      <c r="C65" s="358">
        <v>4</v>
      </c>
      <c r="D65" s="970">
        <v>1</v>
      </c>
      <c r="G65" s="1020" t="s">
        <v>3479</v>
      </c>
      <c r="H65" s="1021">
        <v>2</v>
      </c>
    </row>
    <row r="66" spans="3:8" x14ac:dyDescent="0.2">
      <c r="C66" s="358">
        <v>5</v>
      </c>
      <c r="D66" s="970">
        <v>1</v>
      </c>
      <c r="G66" s="1020" t="s">
        <v>3480</v>
      </c>
      <c r="H66" s="1021">
        <v>1</v>
      </c>
    </row>
    <row r="67" spans="3:8" x14ac:dyDescent="0.2">
      <c r="C67" s="358">
        <v>6</v>
      </c>
      <c r="G67" s="1020" t="s">
        <v>3482</v>
      </c>
      <c r="H67" s="1021">
        <v>1</v>
      </c>
    </row>
    <row r="68" spans="3:8" x14ac:dyDescent="0.2">
      <c r="C68" s="358">
        <v>7</v>
      </c>
      <c r="D68" s="970">
        <v>1</v>
      </c>
      <c r="G68" s="1020" t="s">
        <v>3481</v>
      </c>
      <c r="H68" s="1021">
        <v>2</v>
      </c>
    </row>
    <row r="69" spans="3:8" x14ac:dyDescent="0.2">
      <c r="C69" s="358">
        <v>8</v>
      </c>
      <c r="D69" s="970">
        <v>2</v>
      </c>
      <c r="G69" s="1020" t="s">
        <v>3483</v>
      </c>
      <c r="H69" s="1021">
        <v>1</v>
      </c>
    </row>
    <row r="70" spans="3:8" x14ac:dyDescent="0.2">
      <c r="C70" s="358">
        <v>9</v>
      </c>
      <c r="G70" s="1020" t="s">
        <v>3484</v>
      </c>
      <c r="H70" s="1021">
        <v>2</v>
      </c>
    </row>
    <row r="71" spans="3:8" x14ac:dyDescent="0.2">
      <c r="C71" s="358">
        <v>10</v>
      </c>
      <c r="F71" s="1023">
        <f>SUM(H71:H81)</f>
        <v>15</v>
      </c>
      <c r="G71" s="1024" t="s">
        <v>3485</v>
      </c>
      <c r="H71" s="1025">
        <v>1</v>
      </c>
    </row>
    <row r="72" spans="3:8" x14ac:dyDescent="0.2">
      <c r="C72" s="358">
        <v>11</v>
      </c>
      <c r="D72" s="970">
        <v>1</v>
      </c>
      <c r="G72" s="1024" t="s">
        <v>3486</v>
      </c>
      <c r="H72" s="1025">
        <v>2</v>
      </c>
    </row>
    <row r="73" spans="3:8" x14ac:dyDescent="0.2">
      <c r="C73" s="358">
        <v>12</v>
      </c>
      <c r="G73" s="1024" t="s">
        <v>3487</v>
      </c>
      <c r="H73" s="1025">
        <v>1</v>
      </c>
    </row>
    <row r="74" spans="3:8" x14ac:dyDescent="0.2">
      <c r="C74" s="358">
        <v>13</v>
      </c>
      <c r="D74" s="970">
        <v>1</v>
      </c>
      <c r="G74" s="1024" t="s">
        <v>3488</v>
      </c>
      <c r="H74" s="1025">
        <v>1</v>
      </c>
    </row>
    <row r="75" spans="3:8" x14ac:dyDescent="0.2">
      <c r="C75" s="358">
        <v>14</v>
      </c>
      <c r="G75" s="1024" t="s">
        <v>3489</v>
      </c>
      <c r="H75" s="1025">
        <v>2</v>
      </c>
    </row>
    <row r="76" spans="3:8" x14ac:dyDescent="0.2">
      <c r="C76" s="358">
        <v>15</v>
      </c>
      <c r="D76" s="970">
        <v>1</v>
      </c>
      <c r="G76" s="1024" t="s">
        <v>3490</v>
      </c>
      <c r="H76" s="1025">
        <v>1</v>
      </c>
    </row>
    <row r="77" spans="3:8" x14ac:dyDescent="0.2">
      <c r="C77" s="358">
        <v>16</v>
      </c>
      <c r="G77" s="1024" t="s">
        <v>3491</v>
      </c>
      <c r="H77" s="1025">
        <v>1</v>
      </c>
    </row>
    <row r="78" spans="3:8" x14ac:dyDescent="0.2">
      <c r="C78" s="358">
        <v>17</v>
      </c>
      <c r="G78" s="1024" t="s">
        <v>3492</v>
      </c>
      <c r="H78" s="1025">
        <v>2</v>
      </c>
    </row>
    <row r="79" spans="3:8" x14ac:dyDescent="0.2">
      <c r="C79" s="358">
        <v>18</v>
      </c>
      <c r="D79" s="970">
        <v>1</v>
      </c>
      <c r="G79" s="1024" t="s">
        <v>3504</v>
      </c>
      <c r="H79" s="1025">
        <v>1</v>
      </c>
    </row>
    <row r="80" spans="3:8" x14ac:dyDescent="0.2">
      <c r="C80" s="358">
        <v>19</v>
      </c>
      <c r="G80" s="1024" t="s">
        <v>3505</v>
      </c>
      <c r="H80" s="1025">
        <v>1</v>
      </c>
    </row>
    <row r="81" spans="2:9" x14ac:dyDescent="0.2">
      <c r="C81" s="358">
        <v>20</v>
      </c>
      <c r="D81" s="970">
        <v>1</v>
      </c>
      <c r="G81" s="1024" t="s">
        <v>3506</v>
      </c>
      <c r="H81" s="1025">
        <v>2</v>
      </c>
    </row>
    <row r="82" spans="2:9" x14ac:dyDescent="0.2">
      <c r="C82" s="358">
        <v>21</v>
      </c>
      <c r="F82" s="1022">
        <f>SUM(H82:H88)</f>
        <v>11</v>
      </c>
      <c r="G82" s="1020" t="s">
        <v>3518</v>
      </c>
      <c r="H82" s="1021">
        <v>2</v>
      </c>
    </row>
    <row r="83" spans="2:9" x14ac:dyDescent="0.2">
      <c r="C83" s="358">
        <v>22</v>
      </c>
      <c r="D83" s="970">
        <v>1</v>
      </c>
      <c r="G83" s="1020" t="s">
        <v>3519</v>
      </c>
      <c r="H83" s="1021">
        <v>1</v>
      </c>
    </row>
    <row r="84" spans="2:9" x14ac:dyDescent="0.2">
      <c r="C84" s="358">
        <v>23</v>
      </c>
      <c r="G84" s="1020" t="s">
        <v>3517</v>
      </c>
      <c r="H84" s="1021">
        <v>2</v>
      </c>
    </row>
    <row r="85" spans="2:9" x14ac:dyDescent="0.2">
      <c r="C85" s="358">
        <v>24</v>
      </c>
      <c r="D85" s="970">
        <v>1</v>
      </c>
      <c r="G85" s="1020" t="s">
        <v>3516</v>
      </c>
      <c r="H85" s="1021">
        <v>1</v>
      </c>
    </row>
    <row r="86" spans="2:9" x14ac:dyDescent="0.2">
      <c r="C86" s="358">
        <v>25</v>
      </c>
      <c r="G86" s="1020" t="s">
        <v>3520</v>
      </c>
      <c r="H86" s="1021">
        <v>2</v>
      </c>
    </row>
    <row r="87" spans="2:9" x14ac:dyDescent="0.2">
      <c r="C87" s="358">
        <v>26</v>
      </c>
      <c r="D87" s="970">
        <v>1</v>
      </c>
      <c r="G87" s="1020" t="s">
        <v>3521</v>
      </c>
      <c r="H87" s="1021">
        <v>2</v>
      </c>
    </row>
    <row r="88" spans="2:9" x14ac:dyDescent="0.2">
      <c r="C88" s="358">
        <v>27</v>
      </c>
      <c r="G88" s="1020" t="s">
        <v>3522</v>
      </c>
      <c r="H88" s="1021">
        <v>1</v>
      </c>
    </row>
    <row r="89" spans="2:9" x14ac:dyDescent="0.2">
      <c r="C89" s="358">
        <v>28</v>
      </c>
      <c r="D89" s="970">
        <v>1</v>
      </c>
      <c r="F89" s="1023">
        <f>SUM(H89:H90)</f>
        <v>2</v>
      </c>
      <c r="G89" s="1024" t="s">
        <v>3523</v>
      </c>
      <c r="H89" s="1025">
        <v>1</v>
      </c>
    </row>
    <row r="90" spans="2:9" ht="13.5" thickBot="1" x14ac:dyDescent="0.25">
      <c r="C90" s="358">
        <v>29</v>
      </c>
      <c r="G90" s="1026" t="s">
        <v>3524</v>
      </c>
      <c r="H90" s="1027">
        <v>1</v>
      </c>
    </row>
    <row r="91" spans="2:9" x14ac:dyDescent="0.2">
      <c r="C91" s="358">
        <v>30</v>
      </c>
      <c r="D91" s="970">
        <v>1</v>
      </c>
    </row>
    <row r="92" spans="2:9" ht="13.5" thickBot="1" x14ac:dyDescent="0.25">
      <c r="C92" s="358">
        <v>31</v>
      </c>
    </row>
    <row r="93" spans="2:9" x14ac:dyDescent="0.2">
      <c r="B93" s="970" t="s">
        <v>3427</v>
      </c>
      <c r="C93" s="358">
        <v>1</v>
      </c>
      <c r="D93" s="970">
        <v>1</v>
      </c>
      <c r="G93" s="1018" t="s">
        <v>3562</v>
      </c>
      <c r="H93" s="1019"/>
    </row>
    <row r="94" spans="2:9" x14ac:dyDescent="0.2">
      <c r="B94" s="992">
        <f>SUM(D93:D120)</f>
        <v>14</v>
      </c>
      <c r="C94" s="358">
        <v>2</v>
      </c>
      <c r="D94" s="970">
        <v>1</v>
      </c>
      <c r="F94" s="1023">
        <f>SUM(H94:H98)</f>
        <v>5</v>
      </c>
      <c r="G94" s="1024" t="s">
        <v>3527</v>
      </c>
      <c r="H94" s="1025">
        <v>1</v>
      </c>
      <c r="I94" s="82"/>
    </row>
    <row r="95" spans="2:9" x14ac:dyDescent="0.2">
      <c r="C95" s="358">
        <v>3</v>
      </c>
      <c r="G95" s="1024" t="s">
        <v>3529</v>
      </c>
      <c r="H95" s="1025">
        <v>1</v>
      </c>
    </row>
    <row r="96" spans="2:9" x14ac:dyDescent="0.2">
      <c r="C96" s="358">
        <v>4</v>
      </c>
      <c r="D96" s="970">
        <v>1</v>
      </c>
      <c r="G96" s="1024" t="s">
        <v>3528</v>
      </c>
      <c r="H96" s="1025">
        <v>1</v>
      </c>
    </row>
    <row r="97" spans="3:8" x14ac:dyDescent="0.2">
      <c r="C97" s="358">
        <v>5</v>
      </c>
      <c r="G97" s="1024" t="s">
        <v>3530</v>
      </c>
      <c r="H97" s="1025">
        <v>1</v>
      </c>
    </row>
    <row r="98" spans="3:8" x14ac:dyDescent="0.2">
      <c r="C98" s="358">
        <v>6</v>
      </c>
      <c r="G98" s="1024" t="s">
        <v>3531</v>
      </c>
      <c r="H98" s="1025">
        <v>1</v>
      </c>
    </row>
    <row r="99" spans="3:8" x14ac:dyDescent="0.2">
      <c r="C99" s="358">
        <v>7</v>
      </c>
      <c r="D99" s="970">
        <v>1</v>
      </c>
      <c r="F99" s="1022">
        <f>SUM(H99:H109)</f>
        <v>11</v>
      </c>
      <c r="G99" s="1020" t="s">
        <v>3532</v>
      </c>
      <c r="H99" s="1021">
        <v>1</v>
      </c>
    </row>
    <row r="100" spans="3:8" x14ac:dyDescent="0.2">
      <c r="C100" s="358">
        <v>8</v>
      </c>
      <c r="D100" s="970">
        <v>1</v>
      </c>
      <c r="G100" s="1020" t="s">
        <v>3533</v>
      </c>
      <c r="H100" s="1021">
        <v>1</v>
      </c>
    </row>
    <row r="101" spans="3:8" x14ac:dyDescent="0.2">
      <c r="C101" s="358">
        <v>9</v>
      </c>
      <c r="G101" s="1020" t="s">
        <v>3534</v>
      </c>
      <c r="H101" s="1021">
        <v>1</v>
      </c>
    </row>
    <row r="102" spans="3:8" x14ac:dyDescent="0.2">
      <c r="C102" s="358">
        <v>10</v>
      </c>
      <c r="D102" s="970">
        <v>2</v>
      </c>
      <c r="G102" s="1020" t="s">
        <v>3535</v>
      </c>
      <c r="H102" s="1021">
        <v>1</v>
      </c>
    </row>
    <row r="103" spans="3:8" x14ac:dyDescent="0.2">
      <c r="C103" s="358">
        <v>11</v>
      </c>
      <c r="G103" s="1020" t="s">
        <v>3536</v>
      </c>
      <c r="H103" s="1021">
        <v>1</v>
      </c>
    </row>
    <row r="104" spans="3:8" x14ac:dyDescent="0.2">
      <c r="C104" s="358">
        <v>12</v>
      </c>
      <c r="D104" s="970">
        <v>1</v>
      </c>
      <c r="G104" s="1020" t="s">
        <v>3537</v>
      </c>
      <c r="H104" s="1021">
        <v>1</v>
      </c>
    </row>
    <row r="105" spans="3:8" x14ac:dyDescent="0.2">
      <c r="C105" s="358">
        <v>13</v>
      </c>
      <c r="G105" s="1020" t="s">
        <v>3538</v>
      </c>
      <c r="H105" s="1021">
        <v>1</v>
      </c>
    </row>
    <row r="106" spans="3:8" x14ac:dyDescent="0.2">
      <c r="C106" s="358">
        <v>14</v>
      </c>
      <c r="G106" s="1020" t="s">
        <v>3539</v>
      </c>
      <c r="H106" s="1021">
        <v>1</v>
      </c>
    </row>
    <row r="107" spans="3:8" x14ac:dyDescent="0.2">
      <c r="C107" s="358">
        <v>15</v>
      </c>
      <c r="D107" s="970">
        <v>1</v>
      </c>
      <c r="G107" s="1020" t="s">
        <v>3540</v>
      </c>
      <c r="H107" s="1021">
        <v>1</v>
      </c>
    </row>
    <row r="108" spans="3:8" x14ac:dyDescent="0.2">
      <c r="C108" s="358">
        <v>16</v>
      </c>
      <c r="G108" s="1020" t="s">
        <v>3541</v>
      </c>
      <c r="H108" s="1021">
        <v>1</v>
      </c>
    </row>
    <row r="109" spans="3:8" x14ac:dyDescent="0.2">
      <c r="C109" s="358">
        <v>17</v>
      </c>
      <c r="D109" s="970">
        <v>1</v>
      </c>
      <c r="G109" s="1020" t="s">
        <v>3542</v>
      </c>
      <c r="H109" s="1021">
        <v>1</v>
      </c>
    </row>
    <row r="110" spans="3:8" x14ac:dyDescent="0.2">
      <c r="C110" s="358">
        <v>18</v>
      </c>
      <c r="F110" s="1023">
        <f>SUM(H110:H122)</f>
        <v>17</v>
      </c>
      <c r="G110" s="1024" t="s">
        <v>3543</v>
      </c>
      <c r="H110" s="1025">
        <v>1</v>
      </c>
    </row>
    <row r="111" spans="3:8" x14ac:dyDescent="0.2">
      <c r="C111" s="358">
        <v>19</v>
      </c>
      <c r="D111" s="970">
        <v>1</v>
      </c>
      <c r="G111" s="1024" t="s">
        <v>3544</v>
      </c>
      <c r="H111" s="1025">
        <v>1</v>
      </c>
    </row>
    <row r="112" spans="3:8" x14ac:dyDescent="0.2">
      <c r="C112" s="358">
        <v>20</v>
      </c>
      <c r="G112" s="1024" t="s">
        <v>3545</v>
      </c>
      <c r="H112" s="1025">
        <v>1</v>
      </c>
    </row>
    <row r="113" spans="2:8" x14ac:dyDescent="0.2">
      <c r="C113" s="358">
        <v>21</v>
      </c>
      <c r="G113" s="1024" t="s">
        <v>3546</v>
      </c>
      <c r="H113" s="1025">
        <v>2</v>
      </c>
    </row>
    <row r="114" spans="2:8" x14ac:dyDescent="0.2">
      <c r="C114" s="358">
        <v>22</v>
      </c>
      <c r="D114" s="970">
        <v>1</v>
      </c>
      <c r="G114" s="1024" t="s">
        <v>3547</v>
      </c>
      <c r="H114" s="1025">
        <v>1</v>
      </c>
    </row>
    <row r="115" spans="2:8" x14ac:dyDescent="0.2">
      <c r="C115" s="358">
        <v>23</v>
      </c>
      <c r="D115" s="970">
        <v>1</v>
      </c>
      <c r="G115" s="1024" t="s">
        <v>3548</v>
      </c>
      <c r="H115" s="1025">
        <v>1</v>
      </c>
    </row>
    <row r="116" spans="2:8" x14ac:dyDescent="0.2">
      <c r="C116" s="358">
        <v>24</v>
      </c>
      <c r="E116" s="819" t="s">
        <v>3429</v>
      </c>
      <c r="G116" s="1024" t="s">
        <v>3549</v>
      </c>
      <c r="H116" s="1025">
        <v>2</v>
      </c>
    </row>
    <row r="117" spans="2:8" x14ac:dyDescent="0.2">
      <c r="C117" s="358">
        <v>25</v>
      </c>
      <c r="G117" s="1024" t="s">
        <v>3550</v>
      </c>
      <c r="H117" s="1025">
        <v>1</v>
      </c>
    </row>
    <row r="118" spans="2:8" x14ac:dyDescent="0.2">
      <c r="C118" s="358">
        <v>26</v>
      </c>
      <c r="D118" s="970">
        <v>1</v>
      </c>
      <c r="G118" s="1024" t="s">
        <v>3551</v>
      </c>
      <c r="H118" s="1025">
        <v>2</v>
      </c>
    </row>
    <row r="119" spans="2:8" x14ac:dyDescent="0.2">
      <c r="C119" s="358">
        <v>27</v>
      </c>
      <c r="G119" s="1024" t="s">
        <v>3554</v>
      </c>
      <c r="H119" s="1025">
        <v>1</v>
      </c>
    </row>
    <row r="120" spans="2:8" x14ac:dyDescent="0.2">
      <c r="C120" s="358">
        <v>28</v>
      </c>
      <c r="G120" s="1024" t="s">
        <v>3555</v>
      </c>
      <c r="H120" s="1025">
        <v>2</v>
      </c>
    </row>
    <row r="121" spans="2:8" x14ac:dyDescent="0.2">
      <c r="B121" s="970" t="s">
        <v>3428</v>
      </c>
      <c r="C121" s="358">
        <v>1</v>
      </c>
      <c r="G121" s="1024" t="s">
        <v>3556</v>
      </c>
      <c r="H121" s="1025">
        <v>1</v>
      </c>
    </row>
    <row r="122" spans="2:8" x14ac:dyDescent="0.2">
      <c r="B122" s="992">
        <f>SUM(D121:D151)</f>
        <v>10</v>
      </c>
      <c r="C122" s="358">
        <v>2</v>
      </c>
      <c r="D122" s="970">
        <v>2</v>
      </c>
      <c r="G122" s="1024" t="s">
        <v>3557</v>
      </c>
      <c r="H122" s="1025">
        <v>1</v>
      </c>
    </row>
    <row r="123" spans="2:8" x14ac:dyDescent="0.2">
      <c r="C123" s="358">
        <v>3</v>
      </c>
      <c r="F123" s="1022">
        <f>SUM(H123:H137)</f>
        <v>24</v>
      </c>
      <c r="G123" s="1020" t="s">
        <v>3558</v>
      </c>
      <c r="H123" s="1021">
        <v>2</v>
      </c>
    </row>
    <row r="124" spans="2:8" x14ac:dyDescent="0.2">
      <c r="C124" s="358">
        <v>4</v>
      </c>
      <c r="D124" s="970">
        <v>1</v>
      </c>
      <c r="G124" s="1020" t="s">
        <v>3561</v>
      </c>
      <c r="H124" s="1021">
        <v>1</v>
      </c>
    </row>
    <row r="125" spans="2:8" x14ac:dyDescent="0.2">
      <c r="C125" s="358">
        <v>5</v>
      </c>
      <c r="G125" s="1020" t="s">
        <v>3564</v>
      </c>
      <c r="H125" s="1021">
        <v>1</v>
      </c>
    </row>
    <row r="126" spans="2:8" x14ac:dyDescent="0.2">
      <c r="C126" s="358">
        <v>6</v>
      </c>
      <c r="G126" s="1020" t="s">
        <v>3565</v>
      </c>
      <c r="H126" s="1021">
        <v>2</v>
      </c>
    </row>
    <row r="127" spans="2:8" x14ac:dyDescent="0.2">
      <c r="C127" s="358">
        <v>7</v>
      </c>
      <c r="G127" s="1020" t="s">
        <v>3566</v>
      </c>
      <c r="H127" s="1021">
        <v>2</v>
      </c>
    </row>
    <row r="128" spans="2:8" x14ac:dyDescent="0.2">
      <c r="C128" s="358">
        <v>8</v>
      </c>
      <c r="D128" s="970">
        <v>1</v>
      </c>
      <c r="G128" s="1020" t="s">
        <v>3567</v>
      </c>
      <c r="H128" s="1021">
        <v>2</v>
      </c>
    </row>
    <row r="129" spans="3:8" x14ac:dyDescent="0.2">
      <c r="C129" s="358">
        <v>9</v>
      </c>
      <c r="G129" s="1020" t="s">
        <v>3568</v>
      </c>
      <c r="H129" s="1021">
        <v>1</v>
      </c>
    </row>
    <row r="130" spans="3:8" x14ac:dyDescent="0.2">
      <c r="C130" s="358">
        <v>10</v>
      </c>
      <c r="G130" s="1020" t="s">
        <v>3569</v>
      </c>
      <c r="H130" s="1021">
        <v>1</v>
      </c>
    </row>
    <row r="131" spans="3:8" x14ac:dyDescent="0.2">
      <c r="C131" s="358">
        <v>11</v>
      </c>
      <c r="D131" s="970">
        <v>1</v>
      </c>
      <c r="G131" s="1020" t="s">
        <v>3570</v>
      </c>
      <c r="H131" s="1021">
        <v>2</v>
      </c>
    </row>
    <row r="132" spans="3:8" x14ac:dyDescent="0.2">
      <c r="C132" s="358">
        <v>12</v>
      </c>
      <c r="G132" s="1020" t="s">
        <v>3571</v>
      </c>
      <c r="H132" s="1021">
        <v>1</v>
      </c>
    </row>
    <row r="133" spans="3:8" x14ac:dyDescent="0.2">
      <c r="C133" s="358">
        <v>13</v>
      </c>
      <c r="G133" s="1020" t="s">
        <v>3572</v>
      </c>
      <c r="H133" s="1021">
        <v>1</v>
      </c>
    </row>
    <row r="134" spans="3:8" x14ac:dyDescent="0.2">
      <c r="C134" s="358">
        <v>14</v>
      </c>
      <c r="D134" s="970">
        <v>1</v>
      </c>
      <c r="G134" s="1020" t="s">
        <v>3573</v>
      </c>
      <c r="H134" s="1021">
        <v>2</v>
      </c>
    </row>
    <row r="135" spans="3:8" x14ac:dyDescent="0.2">
      <c r="C135" s="358">
        <v>15</v>
      </c>
      <c r="G135" s="1020" t="s">
        <v>3574</v>
      </c>
      <c r="H135" s="1021">
        <v>2</v>
      </c>
    </row>
    <row r="136" spans="3:8" x14ac:dyDescent="0.2">
      <c r="C136" s="358">
        <v>16</v>
      </c>
      <c r="D136" s="970">
        <v>1</v>
      </c>
      <c r="G136" s="1020" t="s">
        <v>3575</v>
      </c>
      <c r="H136" s="1021">
        <v>2</v>
      </c>
    </row>
    <row r="137" spans="3:8" x14ac:dyDescent="0.2">
      <c r="C137" s="358">
        <v>17</v>
      </c>
      <c r="G137" s="1020" t="s">
        <v>3576</v>
      </c>
      <c r="H137" s="1021">
        <v>2</v>
      </c>
    </row>
    <row r="138" spans="3:8" x14ac:dyDescent="0.2">
      <c r="C138" s="358">
        <v>18</v>
      </c>
      <c r="G138" s="1020" t="s">
        <v>3579</v>
      </c>
      <c r="H138" s="1021">
        <v>1</v>
      </c>
    </row>
    <row r="139" spans="3:8" x14ac:dyDescent="0.2">
      <c r="C139" s="358">
        <v>19</v>
      </c>
      <c r="F139" s="1023">
        <f>SUM(H139:H150)</f>
        <v>15</v>
      </c>
      <c r="G139" s="1024" t="s">
        <v>3580</v>
      </c>
      <c r="H139" s="1025">
        <v>2</v>
      </c>
    </row>
    <row r="140" spans="3:8" x14ac:dyDescent="0.2">
      <c r="C140" s="358">
        <v>20</v>
      </c>
      <c r="G140" s="1024" t="s">
        <v>3581</v>
      </c>
      <c r="H140" s="1025">
        <v>1</v>
      </c>
    </row>
    <row r="141" spans="3:8" x14ac:dyDescent="0.2">
      <c r="C141" s="358">
        <v>21</v>
      </c>
      <c r="D141" s="970">
        <v>2</v>
      </c>
      <c r="G141" s="1024" t="s">
        <v>3582</v>
      </c>
      <c r="H141" s="1025">
        <v>1</v>
      </c>
    </row>
    <row r="142" spans="3:8" x14ac:dyDescent="0.2">
      <c r="C142" s="358">
        <v>22</v>
      </c>
      <c r="G142" s="1024" t="s">
        <v>3583</v>
      </c>
      <c r="H142" s="1025">
        <v>1</v>
      </c>
    </row>
    <row r="143" spans="3:8" x14ac:dyDescent="0.2">
      <c r="C143" s="358">
        <v>23</v>
      </c>
      <c r="G143" s="1024" t="s">
        <v>3584</v>
      </c>
      <c r="H143" s="1025">
        <v>2</v>
      </c>
    </row>
    <row r="144" spans="3:8" x14ac:dyDescent="0.2">
      <c r="C144" s="358">
        <v>24</v>
      </c>
      <c r="G144" s="1024" t="s">
        <v>3585</v>
      </c>
      <c r="H144" s="1025">
        <v>1</v>
      </c>
    </row>
    <row r="145" spans="2:8" x14ac:dyDescent="0.2">
      <c r="C145" s="358">
        <v>25</v>
      </c>
      <c r="D145" s="970">
        <v>1</v>
      </c>
      <c r="G145" s="1024" t="s">
        <v>3586</v>
      </c>
      <c r="H145" s="1025">
        <v>1</v>
      </c>
    </row>
    <row r="146" spans="2:8" x14ac:dyDescent="0.2">
      <c r="C146" s="358">
        <v>26</v>
      </c>
      <c r="G146" s="1024" t="s">
        <v>3587</v>
      </c>
      <c r="H146" s="1025">
        <v>1</v>
      </c>
    </row>
    <row r="147" spans="2:8" x14ac:dyDescent="0.2">
      <c r="C147" s="358">
        <v>27</v>
      </c>
      <c r="G147" s="1024" t="s">
        <v>3588</v>
      </c>
      <c r="H147" s="1025">
        <v>2</v>
      </c>
    </row>
    <row r="148" spans="2:8" x14ac:dyDescent="0.2">
      <c r="C148" s="358">
        <v>28</v>
      </c>
      <c r="G148" s="1024" t="s">
        <v>3589</v>
      </c>
      <c r="H148" s="1025">
        <v>1</v>
      </c>
    </row>
    <row r="149" spans="2:8" x14ac:dyDescent="0.2">
      <c r="C149" s="358">
        <v>29</v>
      </c>
      <c r="G149" s="1024" t="s">
        <v>3590</v>
      </c>
      <c r="H149" s="1025">
        <v>1</v>
      </c>
    </row>
    <row r="150" spans="2:8" x14ac:dyDescent="0.2">
      <c r="C150" s="358">
        <v>30</v>
      </c>
      <c r="G150" s="1024" t="s">
        <v>3591</v>
      </c>
      <c r="H150" s="1025">
        <v>1</v>
      </c>
    </row>
    <row r="151" spans="2:8" x14ac:dyDescent="0.2">
      <c r="C151" s="358">
        <v>31</v>
      </c>
      <c r="F151" s="1022">
        <f>SUM(H151:H165)</f>
        <v>10</v>
      </c>
      <c r="G151" s="1020" t="s">
        <v>3592</v>
      </c>
      <c r="H151" s="1021">
        <v>1</v>
      </c>
    </row>
    <row r="152" spans="2:8" x14ac:dyDescent="0.2">
      <c r="B152" s="970" t="s">
        <v>3430</v>
      </c>
      <c r="C152" s="970">
        <v>1</v>
      </c>
      <c r="G152" s="1020" t="s">
        <v>3593</v>
      </c>
      <c r="H152" s="1021">
        <v>1</v>
      </c>
    </row>
    <row r="153" spans="2:8" x14ac:dyDescent="0.2">
      <c r="B153" s="992">
        <f>SUM(D152:D181)</f>
        <v>4</v>
      </c>
      <c r="C153" s="970">
        <v>2</v>
      </c>
      <c r="D153" s="970">
        <v>1</v>
      </c>
      <c r="G153" s="1020" t="s">
        <v>3594</v>
      </c>
      <c r="H153" s="1021">
        <v>1</v>
      </c>
    </row>
    <row r="154" spans="2:8" x14ac:dyDescent="0.2">
      <c r="C154" s="970">
        <v>3</v>
      </c>
      <c r="G154" s="1020" t="s">
        <v>3595</v>
      </c>
      <c r="H154" s="1021">
        <v>1</v>
      </c>
    </row>
    <row r="155" spans="2:8" x14ac:dyDescent="0.2">
      <c r="C155" s="970">
        <v>4</v>
      </c>
      <c r="G155" s="1020" t="s">
        <v>3599</v>
      </c>
      <c r="H155" s="1021">
        <v>1</v>
      </c>
    </row>
    <row r="156" spans="2:8" x14ac:dyDescent="0.2">
      <c r="C156" s="970">
        <v>5</v>
      </c>
      <c r="G156" s="1020" t="s">
        <v>3600</v>
      </c>
      <c r="H156" s="1021">
        <v>2</v>
      </c>
    </row>
    <row r="157" spans="2:8" x14ac:dyDescent="0.2">
      <c r="C157" s="970">
        <v>6</v>
      </c>
      <c r="D157" s="970">
        <v>2</v>
      </c>
      <c r="F157" s="1023">
        <f>SUM(H157:H168)</f>
        <v>3</v>
      </c>
      <c r="G157" s="1024" t="s">
        <v>3601</v>
      </c>
      <c r="H157" s="1025">
        <v>2</v>
      </c>
    </row>
    <row r="158" spans="2:8" x14ac:dyDescent="0.2">
      <c r="C158" s="970">
        <v>7</v>
      </c>
      <c r="G158" s="1024" t="s">
        <v>3602</v>
      </c>
      <c r="H158" s="1025">
        <v>1</v>
      </c>
    </row>
    <row r="159" spans="2:8" x14ac:dyDescent="0.2">
      <c r="C159" s="970">
        <v>8</v>
      </c>
      <c r="D159" s="970">
        <v>1</v>
      </c>
      <c r="G159" s="1004"/>
      <c r="H159" s="1005"/>
    </row>
    <row r="160" spans="2:8" x14ac:dyDescent="0.2">
      <c r="C160" s="970">
        <v>9</v>
      </c>
      <c r="G160" s="1004"/>
      <c r="H160" s="1005"/>
    </row>
    <row r="161" spans="3:8" x14ac:dyDescent="0.2">
      <c r="C161" s="970">
        <v>10</v>
      </c>
      <c r="G161" s="1004"/>
      <c r="H161" s="1005"/>
    </row>
    <row r="162" spans="3:8" x14ac:dyDescent="0.2">
      <c r="C162" s="970">
        <v>11</v>
      </c>
      <c r="G162" s="1004"/>
      <c r="H162" s="1005"/>
    </row>
    <row r="163" spans="3:8" x14ac:dyDescent="0.2">
      <c r="C163" s="970">
        <v>12</v>
      </c>
      <c r="G163" s="1004"/>
      <c r="H163" s="1005"/>
    </row>
    <row r="164" spans="3:8" ht="13.5" thickBot="1" x14ac:dyDescent="0.25">
      <c r="C164" s="970">
        <v>13</v>
      </c>
      <c r="G164" s="1001"/>
      <c r="H164" s="1006"/>
    </row>
    <row r="165" spans="3:8" x14ac:dyDescent="0.2">
      <c r="C165" s="970">
        <v>14</v>
      </c>
    </row>
    <row r="166" spans="3:8" x14ac:dyDescent="0.2">
      <c r="C166" s="970">
        <v>15</v>
      </c>
    </row>
    <row r="167" spans="3:8" x14ac:dyDescent="0.2">
      <c r="C167" s="970">
        <v>16</v>
      </c>
    </row>
    <row r="168" spans="3:8" x14ac:dyDescent="0.2">
      <c r="C168" s="970">
        <v>17</v>
      </c>
    </row>
    <row r="169" spans="3:8" x14ac:dyDescent="0.2">
      <c r="C169" s="970">
        <v>18</v>
      </c>
    </row>
    <row r="170" spans="3:8" x14ac:dyDescent="0.2">
      <c r="C170" s="970">
        <v>19</v>
      </c>
    </row>
    <row r="171" spans="3:8" x14ac:dyDescent="0.2">
      <c r="C171" s="970">
        <v>20</v>
      </c>
    </row>
    <row r="172" spans="3:8" x14ac:dyDescent="0.2">
      <c r="C172" s="970">
        <v>21</v>
      </c>
    </row>
    <row r="173" spans="3:8" x14ac:dyDescent="0.2">
      <c r="C173" s="970">
        <v>22</v>
      </c>
    </row>
    <row r="174" spans="3:8" x14ac:dyDescent="0.2">
      <c r="C174" s="970">
        <v>23</v>
      </c>
    </row>
    <row r="175" spans="3:8" x14ac:dyDescent="0.2">
      <c r="C175" s="970">
        <v>24</v>
      </c>
    </row>
    <row r="176" spans="3:8" x14ac:dyDescent="0.2">
      <c r="C176" s="970">
        <v>25</v>
      </c>
    </row>
    <row r="177" spans="3:3" x14ac:dyDescent="0.2">
      <c r="C177" s="970">
        <v>26</v>
      </c>
    </row>
    <row r="178" spans="3:3" x14ac:dyDescent="0.2">
      <c r="C178" s="970">
        <v>27</v>
      </c>
    </row>
    <row r="179" spans="3:3" x14ac:dyDescent="0.2">
      <c r="C179" s="970">
        <v>28</v>
      </c>
    </row>
    <row r="180" spans="3:3" x14ac:dyDescent="0.2">
      <c r="C180" s="970">
        <v>29</v>
      </c>
    </row>
    <row r="181" spans="3:3" x14ac:dyDescent="0.2">
      <c r="C181" s="970">
        <v>30</v>
      </c>
    </row>
  </sheetData>
  <hyperlinks>
    <hyperlink ref="G9" r:id="rId1" xr:uid="{00000000-0004-0000-0E00-000000000000}"/>
  </hyperlinks>
  <pageMargins left="0.7" right="0.7" top="0.75" bottom="0.75" header="0.3" footer="0.3"/>
  <pageSetup paperSize="9" orientation="portrait" r:id="rId2"/>
  <ignoredErrors>
    <ignoredError sqref="B32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Munka26">
    <tabColor rgb="FFFFFF00"/>
  </sheetPr>
  <dimension ref="A1:I71"/>
  <sheetViews>
    <sheetView workbookViewId="0">
      <selection activeCell="E26" sqref="E26"/>
    </sheetView>
  </sheetViews>
  <sheetFormatPr defaultRowHeight="12.75" x14ac:dyDescent="0.2"/>
  <cols>
    <col min="1" max="1" width="10.28515625" bestFit="1" customWidth="1"/>
    <col min="2" max="2" width="18.140625" bestFit="1" customWidth="1"/>
    <col min="4" max="5" width="9.28515625" bestFit="1" customWidth="1"/>
    <col min="6" max="6" width="12.7109375" customWidth="1"/>
    <col min="8" max="8" width="16.42578125" bestFit="1" customWidth="1"/>
  </cols>
  <sheetData>
    <row r="1" spans="1:9" x14ac:dyDescent="0.2">
      <c r="C1" t="s">
        <v>642</v>
      </c>
      <c r="D1" t="s">
        <v>1412</v>
      </c>
      <c r="E1" t="s">
        <v>1413</v>
      </c>
    </row>
    <row r="2" spans="1:9" x14ac:dyDescent="0.2">
      <c r="A2" t="s">
        <v>3525</v>
      </c>
      <c r="B2" s="664" t="s">
        <v>3335</v>
      </c>
      <c r="C2" s="976">
        <v>60</v>
      </c>
      <c r="D2" s="976">
        <v>300</v>
      </c>
      <c r="E2" s="979">
        <f>C2*D2</f>
        <v>18000</v>
      </c>
    </row>
    <row r="3" spans="1:9" x14ac:dyDescent="0.2">
      <c r="B3" s="666" t="s">
        <v>2937</v>
      </c>
      <c r="C3" s="47">
        <v>0</v>
      </c>
      <c r="D3" s="47"/>
      <c r="E3" s="667"/>
    </row>
    <row r="4" spans="1:9" x14ac:dyDescent="0.2">
      <c r="B4" s="668" t="s">
        <v>3349</v>
      </c>
      <c r="C4" s="977">
        <f>C2+C3</f>
        <v>60</v>
      </c>
      <c r="D4" s="977"/>
      <c r="E4" s="669"/>
    </row>
    <row r="6" spans="1:9" x14ac:dyDescent="0.2">
      <c r="B6" s="664" t="s">
        <v>3348</v>
      </c>
      <c r="C6" s="976">
        <v>17</v>
      </c>
      <c r="D6" s="976">
        <v>270</v>
      </c>
      <c r="E6" s="979">
        <f>C6*D6</f>
        <v>4590</v>
      </c>
    </row>
    <row r="7" spans="1:9" x14ac:dyDescent="0.2">
      <c r="B7" s="666" t="s">
        <v>2937</v>
      </c>
      <c r="C7" s="47">
        <v>0</v>
      </c>
      <c r="D7" s="47"/>
      <c r="E7" s="667"/>
      <c r="H7" t="s">
        <v>3345</v>
      </c>
    </row>
    <row r="8" spans="1:9" x14ac:dyDescent="0.2">
      <c r="B8" s="668" t="s">
        <v>3349</v>
      </c>
      <c r="C8" s="977">
        <f>C6+C7</f>
        <v>17</v>
      </c>
      <c r="D8" s="977"/>
      <c r="E8" s="669"/>
      <c r="H8" t="s">
        <v>3342</v>
      </c>
      <c r="I8">
        <v>1.5</v>
      </c>
    </row>
    <row r="9" spans="1:9" x14ac:dyDescent="0.2">
      <c r="H9" t="s">
        <v>3340</v>
      </c>
      <c r="I9">
        <v>8</v>
      </c>
    </row>
    <row r="10" spans="1:9" x14ac:dyDescent="0.2">
      <c r="H10" t="s">
        <v>3341</v>
      </c>
      <c r="I10">
        <f>I9/0.3</f>
        <v>26.666666666666668</v>
      </c>
    </row>
    <row r="11" spans="1:9" x14ac:dyDescent="0.2">
      <c r="B11" t="s">
        <v>1454</v>
      </c>
      <c r="C11" t="s">
        <v>618</v>
      </c>
      <c r="D11" t="s">
        <v>3339</v>
      </c>
      <c r="E11" t="s">
        <v>1413</v>
      </c>
      <c r="F11" t="s">
        <v>3526</v>
      </c>
      <c r="H11" t="s">
        <v>3343</v>
      </c>
      <c r="I11">
        <f>I10*I8</f>
        <v>40</v>
      </c>
    </row>
    <row r="12" spans="1:9" x14ac:dyDescent="0.2">
      <c r="A12" t="s">
        <v>3345</v>
      </c>
      <c r="B12" s="664" t="s">
        <v>3337</v>
      </c>
      <c r="C12" s="976">
        <v>42</v>
      </c>
      <c r="D12" s="976">
        <v>95</v>
      </c>
      <c r="E12" s="665">
        <f>C12*D12</f>
        <v>3990</v>
      </c>
      <c r="F12">
        <f>C12/6</f>
        <v>7</v>
      </c>
      <c r="H12" t="s">
        <v>3344</v>
      </c>
      <c r="I12">
        <f>I9*4</f>
        <v>32</v>
      </c>
    </row>
    <row r="13" spans="1:9" x14ac:dyDescent="0.2">
      <c r="B13" s="666" t="s">
        <v>3338</v>
      </c>
      <c r="C13" s="47">
        <v>36</v>
      </c>
      <c r="D13" s="47">
        <v>140</v>
      </c>
      <c r="E13" s="667">
        <f>C13*D13</f>
        <v>5040</v>
      </c>
      <c r="F13">
        <f>C13/6</f>
        <v>6</v>
      </c>
    </row>
    <row r="14" spans="1:9" x14ac:dyDescent="0.2">
      <c r="A14" t="s">
        <v>3346</v>
      </c>
      <c r="B14" s="666" t="s">
        <v>3337</v>
      </c>
      <c r="C14" s="47">
        <v>90</v>
      </c>
      <c r="D14" s="47">
        <v>95</v>
      </c>
      <c r="E14" s="667">
        <f>C14*D14</f>
        <v>8550</v>
      </c>
      <c r="F14">
        <f>C14/6</f>
        <v>15</v>
      </c>
      <c r="H14" t="s">
        <v>3346</v>
      </c>
    </row>
    <row r="15" spans="1:9" x14ac:dyDescent="0.2">
      <c r="B15" s="668"/>
      <c r="C15" s="977"/>
      <c r="D15" s="977"/>
      <c r="E15" s="978">
        <f>SUM(E12:E14)</f>
        <v>17580</v>
      </c>
      <c r="H15" t="s">
        <v>3359</v>
      </c>
      <c r="I15">
        <v>1</v>
      </c>
    </row>
    <row r="16" spans="1:9" x14ac:dyDescent="0.2">
      <c r="H16" t="s">
        <v>3350</v>
      </c>
      <c r="I16">
        <v>0.5</v>
      </c>
    </row>
    <row r="17" spans="1:9" x14ac:dyDescent="0.2">
      <c r="C17" t="s">
        <v>623</v>
      </c>
      <c r="H17" t="s">
        <v>3351</v>
      </c>
      <c r="I17">
        <v>60</v>
      </c>
    </row>
    <row r="18" spans="1:9" x14ac:dyDescent="0.2">
      <c r="B18" t="s">
        <v>3354</v>
      </c>
      <c r="C18" s="82">
        <f>I9*0.35*0.6</f>
        <v>1.68</v>
      </c>
      <c r="H18" t="s">
        <v>3352</v>
      </c>
      <c r="I18">
        <f>(I16+I15)*I17</f>
        <v>90</v>
      </c>
    </row>
    <row r="19" spans="1:9" x14ac:dyDescent="0.2">
      <c r="A19" t="s">
        <v>3355</v>
      </c>
      <c r="B19" t="s">
        <v>3353</v>
      </c>
      <c r="C19">
        <f>12*0.15</f>
        <v>1.7999999999999998</v>
      </c>
      <c r="F19" t="s">
        <v>623</v>
      </c>
    </row>
    <row r="20" spans="1:9" x14ac:dyDescent="0.2">
      <c r="A20" t="s">
        <v>3357</v>
      </c>
      <c r="B20" t="s">
        <v>851</v>
      </c>
      <c r="C20" s="970">
        <f>ROUNDUP((C18+C19)*1.25,0)</f>
        <v>5</v>
      </c>
      <c r="D20">
        <v>3500</v>
      </c>
      <c r="E20" s="975">
        <f>C20*D20</f>
        <v>17500</v>
      </c>
      <c r="F20">
        <v>5</v>
      </c>
    </row>
    <row r="21" spans="1:9" x14ac:dyDescent="0.2">
      <c r="G21" s="82"/>
    </row>
    <row r="22" spans="1:9" x14ac:dyDescent="0.2">
      <c r="C22" t="s">
        <v>656</v>
      </c>
      <c r="F22" t="s">
        <v>1728</v>
      </c>
    </row>
    <row r="23" spans="1:9" x14ac:dyDescent="0.2">
      <c r="A23" t="s">
        <v>3358</v>
      </c>
      <c r="B23" t="s">
        <v>1517</v>
      </c>
      <c r="C23">
        <f>ROUNDUP((C18+C19)*300,0)</f>
        <v>1044</v>
      </c>
      <c r="D23">
        <v>30</v>
      </c>
      <c r="E23" s="975">
        <f>C23*D23</f>
        <v>31320</v>
      </c>
      <c r="F23">
        <f>C23/25</f>
        <v>41.76</v>
      </c>
    </row>
    <row r="26" spans="1:9" x14ac:dyDescent="0.2">
      <c r="C26" t="s">
        <v>611</v>
      </c>
    </row>
    <row r="27" spans="1:9" x14ac:dyDescent="0.2">
      <c r="B27" t="s">
        <v>2860</v>
      </c>
      <c r="C27">
        <v>41.5</v>
      </c>
      <c r="D27">
        <v>3400</v>
      </c>
      <c r="E27">
        <f>C27*D27</f>
        <v>141100</v>
      </c>
    </row>
    <row r="28" spans="1:9" x14ac:dyDescent="0.2">
      <c r="C28">
        <v>1</v>
      </c>
      <c r="D28">
        <v>8000</v>
      </c>
      <c r="E28">
        <f>C28*D28</f>
        <v>8000</v>
      </c>
    </row>
    <row r="30" spans="1:9" x14ac:dyDescent="0.2">
      <c r="C30" t="s">
        <v>623</v>
      </c>
    </row>
    <row r="31" spans="1:9" x14ac:dyDescent="0.2">
      <c r="B31" t="s">
        <v>3336</v>
      </c>
      <c r="C31">
        <v>10</v>
      </c>
      <c r="D31">
        <v>3700</v>
      </c>
      <c r="E31">
        <f>C31*D31</f>
        <v>37000</v>
      </c>
    </row>
    <row r="32" spans="1:9" x14ac:dyDescent="0.2">
      <c r="B32" t="s">
        <v>1518</v>
      </c>
      <c r="C32">
        <v>2</v>
      </c>
      <c r="D32">
        <v>8000</v>
      </c>
      <c r="E32">
        <f>C32*D32</f>
        <v>16000</v>
      </c>
    </row>
    <row r="34" spans="2:6" x14ac:dyDescent="0.2">
      <c r="B34" t="s">
        <v>1518</v>
      </c>
      <c r="C34">
        <v>3</v>
      </c>
      <c r="D34">
        <v>6000</v>
      </c>
      <c r="E34">
        <f>C34*D34</f>
        <v>18000</v>
      </c>
    </row>
    <row r="37" spans="2:6" x14ac:dyDescent="0.2">
      <c r="B37" t="s">
        <v>2908</v>
      </c>
      <c r="C37">
        <v>6</v>
      </c>
      <c r="D37">
        <v>3000</v>
      </c>
      <c r="E37">
        <f>C37*D37</f>
        <v>18000</v>
      </c>
    </row>
    <row r="38" spans="2:6" x14ac:dyDescent="0.2">
      <c r="B38" t="s">
        <v>3347</v>
      </c>
      <c r="C38">
        <v>1</v>
      </c>
      <c r="D38">
        <v>3000</v>
      </c>
      <c r="E38">
        <f>C38*D38</f>
        <v>3000</v>
      </c>
    </row>
    <row r="42" spans="2:6" x14ac:dyDescent="0.2">
      <c r="D42" t="s">
        <v>438</v>
      </c>
      <c r="E42" t="s">
        <v>439</v>
      </c>
    </row>
    <row r="43" spans="2:6" x14ac:dyDescent="0.2">
      <c r="B43" s="588" t="s">
        <v>3360</v>
      </c>
      <c r="C43" s="588"/>
      <c r="D43" s="980">
        <v>130000</v>
      </c>
      <c r="E43" s="980">
        <v>56000</v>
      </c>
      <c r="F43" s="981"/>
    </row>
    <row r="44" spans="2:6" x14ac:dyDescent="0.2">
      <c r="B44" s="588" t="s">
        <v>3362</v>
      </c>
      <c r="C44" s="588"/>
      <c r="D44" s="980">
        <v>5000</v>
      </c>
      <c r="E44" s="980"/>
      <c r="F44" s="981"/>
    </row>
    <row r="45" spans="2:6" x14ac:dyDescent="0.2">
      <c r="B45" s="588" t="s">
        <v>2908</v>
      </c>
      <c r="C45" s="588"/>
      <c r="D45" s="980">
        <v>20000</v>
      </c>
      <c r="E45" s="980"/>
      <c r="F45" s="981"/>
    </row>
    <row r="46" spans="2:6" x14ac:dyDescent="0.2">
      <c r="B46" s="588" t="s">
        <v>2908</v>
      </c>
      <c r="C46" s="588"/>
      <c r="D46" s="980">
        <v>5000</v>
      </c>
      <c r="E46" s="980">
        <v>10500</v>
      </c>
      <c r="F46" s="981"/>
    </row>
    <row r="47" spans="2:6" x14ac:dyDescent="0.2">
      <c r="B47" s="588" t="s">
        <v>3364</v>
      </c>
      <c r="C47" s="588"/>
      <c r="D47" s="980">
        <v>7500</v>
      </c>
      <c r="E47" s="980"/>
      <c r="F47" s="981"/>
    </row>
    <row r="48" spans="2:6" x14ac:dyDescent="0.2">
      <c r="B48" s="588" t="s">
        <v>2860</v>
      </c>
      <c r="C48" s="588"/>
      <c r="D48" s="980">
        <v>144000</v>
      </c>
      <c r="E48" s="980">
        <v>73000</v>
      </c>
      <c r="F48" s="981"/>
    </row>
    <row r="49" spans="2:6" x14ac:dyDescent="0.2">
      <c r="B49" s="588" t="s">
        <v>3363</v>
      </c>
      <c r="C49" s="588"/>
      <c r="D49" s="980">
        <v>6000</v>
      </c>
      <c r="E49" s="980">
        <v>9000</v>
      </c>
      <c r="F49" s="981"/>
    </row>
    <row r="50" spans="2:6" x14ac:dyDescent="0.2">
      <c r="B50" s="588" t="s">
        <v>3336</v>
      </c>
      <c r="C50" s="588"/>
      <c r="D50" s="980">
        <v>53000</v>
      </c>
      <c r="E50" s="980">
        <v>28000</v>
      </c>
      <c r="F50" s="981"/>
    </row>
    <row r="51" spans="2:6" x14ac:dyDescent="0.2">
      <c r="B51" s="588" t="s">
        <v>3365</v>
      </c>
      <c r="C51" s="588"/>
      <c r="D51" s="980">
        <v>7000</v>
      </c>
      <c r="E51" s="980"/>
      <c r="F51" s="981"/>
    </row>
    <row r="52" spans="2:6" x14ac:dyDescent="0.2">
      <c r="B52" s="588" t="s">
        <v>3361</v>
      </c>
      <c r="C52" s="588"/>
      <c r="D52" s="980"/>
      <c r="E52" s="980">
        <v>40000</v>
      </c>
      <c r="F52" s="981"/>
    </row>
    <row r="53" spans="2:6" x14ac:dyDescent="0.2">
      <c r="B53" s="588" t="s">
        <v>2893</v>
      </c>
      <c r="C53" s="588"/>
      <c r="D53" s="980">
        <v>13000</v>
      </c>
      <c r="E53" s="980"/>
      <c r="F53" s="981"/>
    </row>
    <row r="54" spans="2:6" x14ac:dyDescent="0.2">
      <c r="B54" t="s">
        <v>3366</v>
      </c>
      <c r="D54" s="981"/>
      <c r="E54" s="981">
        <v>4000</v>
      </c>
      <c r="F54" s="981"/>
    </row>
    <row r="55" spans="2:6" x14ac:dyDescent="0.2">
      <c r="B55" s="588" t="s">
        <v>987</v>
      </c>
      <c r="D55" s="981"/>
      <c r="E55" s="981">
        <v>70000</v>
      </c>
      <c r="F55" s="981"/>
    </row>
    <row r="56" spans="2:6" x14ac:dyDescent="0.2">
      <c r="B56" s="588" t="s">
        <v>2899</v>
      </c>
      <c r="D56" s="981">
        <v>24500</v>
      </c>
      <c r="E56" s="981">
        <v>6000</v>
      </c>
      <c r="F56" s="981"/>
    </row>
    <row r="57" spans="2:6" x14ac:dyDescent="0.2">
      <c r="B57" t="s">
        <v>3367</v>
      </c>
      <c r="D57" s="981"/>
      <c r="E57" s="981">
        <v>8500</v>
      </c>
      <c r="F57" s="981"/>
    </row>
    <row r="58" spans="2:6" ht="15.75" x14ac:dyDescent="0.25">
      <c r="D58" s="982">
        <f>SUM(D43:D57)</f>
        <v>415000</v>
      </c>
      <c r="E58" s="982">
        <f>SUM(E43:E57)</f>
        <v>305000</v>
      </c>
      <c r="F58" s="983">
        <f>D58+E58</f>
        <v>720000</v>
      </c>
    </row>
    <row r="61" spans="2:6" x14ac:dyDescent="0.2">
      <c r="B61" t="s">
        <v>3373</v>
      </c>
      <c r="D61" t="s">
        <v>438</v>
      </c>
      <c r="E61" t="s">
        <v>439</v>
      </c>
    </row>
    <row r="62" spans="2:6" x14ac:dyDescent="0.2">
      <c r="B62" s="588"/>
      <c r="C62" s="588"/>
      <c r="D62" s="980">
        <v>85000</v>
      </c>
      <c r="E62" s="980">
        <v>81000</v>
      </c>
    </row>
    <row r="63" spans="2:6" x14ac:dyDescent="0.2">
      <c r="B63" s="588" t="s">
        <v>3362</v>
      </c>
      <c r="C63" s="588"/>
      <c r="D63" s="980">
        <v>7500</v>
      </c>
      <c r="E63" s="980"/>
    </row>
    <row r="64" spans="2:6" x14ac:dyDescent="0.2">
      <c r="B64" s="588"/>
      <c r="C64" s="588"/>
      <c r="D64" s="980"/>
      <c r="E64" s="980"/>
    </row>
    <row r="65" spans="2:6" x14ac:dyDescent="0.2">
      <c r="B65" s="588"/>
      <c r="C65" s="588"/>
      <c r="D65" s="980"/>
      <c r="E65" s="980"/>
    </row>
    <row r="66" spans="2:6" x14ac:dyDescent="0.2">
      <c r="B66" s="588"/>
      <c r="C66" s="588"/>
      <c r="D66" s="980"/>
      <c r="E66" s="980"/>
    </row>
    <row r="67" spans="2:6" x14ac:dyDescent="0.2">
      <c r="B67" s="588"/>
      <c r="C67" s="588"/>
      <c r="D67" s="980"/>
      <c r="E67" s="980"/>
    </row>
    <row r="68" spans="2:6" x14ac:dyDescent="0.2">
      <c r="B68" s="588"/>
      <c r="C68" s="588"/>
      <c r="D68" s="980"/>
      <c r="E68" s="980"/>
    </row>
    <row r="69" spans="2:6" x14ac:dyDescent="0.2">
      <c r="B69" s="588"/>
      <c r="C69" s="588"/>
      <c r="D69" s="980"/>
      <c r="E69" s="980"/>
    </row>
    <row r="70" spans="2:6" x14ac:dyDescent="0.2">
      <c r="D70" s="981"/>
      <c r="E70" s="981"/>
    </row>
    <row r="71" spans="2:6" ht="15.75" x14ac:dyDescent="0.25">
      <c r="D71" s="982">
        <f>SUM(D62:D70)</f>
        <v>92500</v>
      </c>
      <c r="E71" s="982">
        <f>SUM(E62:E70)</f>
        <v>81000</v>
      </c>
      <c r="F71" s="983">
        <f>D71+E71</f>
        <v>173500</v>
      </c>
    </row>
  </sheetData>
  <pageMargins left="0.7" right="0.7" top="0.75" bottom="0.75" header="0.3" footer="0.3"/>
  <pageSetup paperSize="9"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Munka27">
    <tabColor rgb="FFFFFF00"/>
  </sheetPr>
  <dimension ref="A1:I71"/>
  <sheetViews>
    <sheetView workbookViewId="0">
      <selection activeCell="C23" sqref="C23"/>
    </sheetView>
  </sheetViews>
  <sheetFormatPr defaultRowHeight="12.75" x14ac:dyDescent="0.2"/>
  <cols>
    <col min="1" max="1" width="10.28515625" bestFit="1" customWidth="1"/>
    <col min="2" max="2" width="18.140625" bestFit="1" customWidth="1"/>
    <col min="4" max="5" width="9.28515625" bestFit="1" customWidth="1"/>
    <col min="6" max="6" width="12.7109375" customWidth="1"/>
    <col min="8" max="8" width="16.42578125" bestFit="1" customWidth="1"/>
  </cols>
  <sheetData>
    <row r="1" spans="1:9" x14ac:dyDescent="0.2">
      <c r="C1" t="s">
        <v>642</v>
      </c>
      <c r="D1" t="s">
        <v>1412</v>
      </c>
      <c r="E1" t="s">
        <v>1413</v>
      </c>
    </row>
    <row r="2" spans="1:9" x14ac:dyDescent="0.2">
      <c r="A2" t="s">
        <v>3356</v>
      </c>
      <c r="B2" s="664" t="s">
        <v>3335</v>
      </c>
      <c r="C2" s="976">
        <v>100</v>
      </c>
      <c r="D2" s="976">
        <v>270</v>
      </c>
      <c r="E2" s="979">
        <f>C2*D2</f>
        <v>27000</v>
      </c>
    </row>
    <row r="3" spans="1:9" x14ac:dyDescent="0.2">
      <c r="B3" s="666" t="s">
        <v>2937</v>
      </c>
      <c r="C3" s="47">
        <v>4</v>
      </c>
      <c r="D3" s="47"/>
      <c r="E3" s="667"/>
    </row>
    <row r="4" spans="1:9" x14ac:dyDescent="0.2">
      <c r="B4" s="668" t="s">
        <v>3349</v>
      </c>
      <c r="C4" s="977">
        <f>C2+C3</f>
        <v>104</v>
      </c>
      <c r="D4" s="977"/>
      <c r="E4" s="669"/>
    </row>
    <row r="6" spans="1:9" x14ac:dyDescent="0.2">
      <c r="B6" s="664" t="s">
        <v>3348</v>
      </c>
      <c r="C6" s="976">
        <v>24</v>
      </c>
      <c r="D6" s="976">
        <v>270</v>
      </c>
      <c r="E6" s="979">
        <f>C6*D6</f>
        <v>6480</v>
      </c>
    </row>
    <row r="7" spans="1:9" x14ac:dyDescent="0.2">
      <c r="B7" s="666" t="s">
        <v>2937</v>
      </c>
      <c r="C7" s="47">
        <v>4</v>
      </c>
      <c r="D7" s="47"/>
      <c r="E7" s="667"/>
      <c r="H7" t="s">
        <v>3345</v>
      </c>
    </row>
    <row r="8" spans="1:9" x14ac:dyDescent="0.2">
      <c r="B8" s="668" t="s">
        <v>3349</v>
      </c>
      <c r="C8" s="977">
        <f>C6+C7</f>
        <v>28</v>
      </c>
      <c r="D8" s="977"/>
      <c r="E8" s="669"/>
      <c r="H8" t="s">
        <v>3342</v>
      </c>
      <c r="I8">
        <v>1.5</v>
      </c>
    </row>
    <row r="9" spans="1:9" x14ac:dyDescent="0.2">
      <c r="H9" t="s">
        <v>3340</v>
      </c>
      <c r="I9">
        <v>11.3</v>
      </c>
    </row>
    <row r="10" spans="1:9" x14ac:dyDescent="0.2">
      <c r="H10" t="s">
        <v>3341</v>
      </c>
      <c r="I10">
        <f>I9/0.3</f>
        <v>37.666666666666671</v>
      </c>
    </row>
    <row r="11" spans="1:9" x14ac:dyDescent="0.2">
      <c r="B11" t="s">
        <v>1454</v>
      </c>
      <c r="C11" t="s">
        <v>618</v>
      </c>
      <c r="D11" t="s">
        <v>3339</v>
      </c>
      <c r="E11" t="s">
        <v>1413</v>
      </c>
      <c r="H11" t="s">
        <v>3343</v>
      </c>
      <c r="I11">
        <f>I10*I8</f>
        <v>56.500000000000007</v>
      </c>
    </row>
    <row r="12" spans="1:9" x14ac:dyDescent="0.2">
      <c r="A12" t="s">
        <v>3345</v>
      </c>
      <c r="B12" s="664" t="s">
        <v>3337</v>
      </c>
      <c r="C12" s="976">
        <v>60</v>
      </c>
      <c r="D12" s="976">
        <v>95</v>
      </c>
      <c r="E12" s="665">
        <f>C12*D12</f>
        <v>5700</v>
      </c>
      <c r="H12" t="s">
        <v>3344</v>
      </c>
      <c r="I12">
        <f>I9*4</f>
        <v>45.2</v>
      </c>
    </row>
    <row r="13" spans="1:9" x14ac:dyDescent="0.2">
      <c r="B13" s="666" t="s">
        <v>3338</v>
      </c>
      <c r="C13" s="47">
        <v>66</v>
      </c>
      <c r="D13" s="47">
        <v>140</v>
      </c>
      <c r="E13" s="667">
        <f>C13*D13</f>
        <v>9240</v>
      </c>
    </row>
    <row r="14" spans="1:9" x14ac:dyDescent="0.2">
      <c r="A14" t="s">
        <v>3346</v>
      </c>
      <c r="B14" s="666" t="s">
        <v>3337</v>
      </c>
      <c r="C14" s="47">
        <v>156</v>
      </c>
      <c r="D14" s="47">
        <v>95</v>
      </c>
      <c r="E14" s="667">
        <f>C14*D14</f>
        <v>14820</v>
      </c>
      <c r="H14" t="s">
        <v>3346</v>
      </c>
    </row>
    <row r="15" spans="1:9" x14ac:dyDescent="0.2">
      <c r="B15" s="668"/>
      <c r="C15" s="977"/>
      <c r="D15" s="977"/>
      <c r="E15" s="978">
        <f>SUM(E12:E14)</f>
        <v>29760</v>
      </c>
      <c r="H15" t="s">
        <v>3359</v>
      </c>
      <c r="I15">
        <v>1</v>
      </c>
    </row>
    <row r="16" spans="1:9" x14ac:dyDescent="0.2">
      <c r="H16" t="s">
        <v>3350</v>
      </c>
      <c r="I16">
        <v>0.5</v>
      </c>
    </row>
    <row r="17" spans="1:9" x14ac:dyDescent="0.2">
      <c r="C17" t="s">
        <v>623</v>
      </c>
      <c r="H17" t="s">
        <v>3351</v>
      </c>
      <c r="I17">
        <v>104</v>
      </c>
    </row>
    <row r="18" spans="1:9" x14ac:dyDescent="0.2">
      <c r="B18" t="s">
        <v>3354</v>
      </c>
      <c r="C18" s="82">
        <f>I9*0.35*0.6</f>
        <v>2.3729999999999998</v>
      </c>
      <c r="H18" t="s">
        <v>3352</v>
      </c>
      <c r="I18">
        <f>(I16+I15)*I17</f>
        <v>156</v>
      </c>
    </row>
    <row r="19" spans="1:9" x14ac:dyDescent="0.2">
      <c r="A19" t="s">
        <v>3355</v>
      </c>
      <c r="B19" t="s">
        <v>3353</v>
      </c>
      <c r="C19">
        <f>12*0.15</f>
        <v>1.7999999999999998</v>
      </c>
    </row>
    <row r="20" spans="1:9" x14ac:dyDescent="0.2">
      <c r="A20" t="s">
        <v>3357</v>
      </c>
      <c r="B20" t="s">
        <v>851</v>
      </c>
      <c r="C20" s="970">
        <f>ROUNDUP((C18+C19)*1.25,0)</f>
        <v>6</v>
      </c>
      <c r="D20">
        <v>3500</v>
      </c>
      <c r="E20" s="975">
        <f>C20*D20</f>
        <v>21000</v>
      </c>
    </row>
    <row r="21" spans="1:9" x14ac:dyDescent="0.2">
      <c r="G21" s="82"/>
    </row>
    <row r="22" spans="1:9" x14ac:dyDescent="0.2">
      <c r="C22" t="s">
        <v>656</v>
      </c>
    </row>
    <row r="23" spans="1:9" x14ac:dyDescent="0.2">
      <c r="A23" t="s">
        <v>3358</v>
      </c>
      <c r="B23" t="s">
        <v>1517</v>
      </c>
      <c r="C23">
        <f>ROUNDUP((C18+C19)*300,0)</f>
        <v>1252</v>
      </c>
      <c r="D23">
        <v>30</v>
      </c>
      <c r="E23" s="975">
        <f>C23*D23</f>
        <v>37560</v>
      </c>
    </row>
    <row r="26" spans="1:9" x14ac:dyDescent="0.2">
      <c r="C26" t="s">
        <v>611</v>
      </c>
    </row>
    <row r="27" spans="1:9" x14ac:dyDescent="0.2">
      <c r="B27" t="s">
        <v>2860</v>
      </c>
      <c r="C27">
        <v>41.5</v>
      </c>
      <c r="D27">
        <v>3400</v>
      </c>
      <c r="E27">
        <f>C27*D27</f>
        <v>141100</v>
      </c>
    </row>
    <row r="28" spans="1:9" x14ac:dyDescent="0.2">
      <c r="C28">
        <v>1</v>
      </c>
      <c r="D28">
        <v>8000</v>
      </c>
      <c r="E28">
        <f>C28*D28</f>
        <v>8000</v>
      </c>
    </row>
    <row r="30" spans="1:9" x14ac:dyDescent="0.2">
      <c r="C30" t="s">
        <v>623</v>
      </c>
    </row>
    <row r="31" spans="1:9" x14ac:dyDescent="0.2">
      <c r="B31" t="s">
        <v>3336</v>
      </c>
      <c r="C31">
        <v>10</v>
      </c>
      <c r="D31">
        <v>3700</v>
      </c>
      <c r="E31">
        <f>C31*D31</f>
        <v>37000</v>
      </c>
    </row>
    <row r="32" spans="1:9" x14ac:dyDescent="0.2">
      <c r="B32" t="s">
        <v>1518</v>
      </c>
      <c r="C32">
        <v>2</v>
      </c>
      <c r="D32">
        <v>8000</v>
      </c>
      <c r="E32">
        <f>C32*D32</f>
        <v>16000</v>
      </c>
    </row>
    <row r="34" spans="2:6" x14ac:dyDescent="0.2">
      <c r="B34" t="s">
        <v>1518</v>
      </c>
      <c r="C34">
        <v>3</v>
      </c>
      <c r="D34">
        <v>6000</v>
      </c>
      <c r="E34">
        <f>C34*D34</f>
        <v>18000</v>
      </c>
    </row>
    <row r="37" spans="2:6" x14ac:dyDescent="0.2">
      <c r="B37" t="s">
        <v>2908</v>
      </c>
      <c r="C37">
        <v>6</v>
      </c>
      <c r="D37">
        <v>3000</v>
      </c>
      <c r="E37">
        <f>C37*D37</f>
        <v>18000</v>
      </c>
    </row>
    <row r="38" spans="2:6" x14ac:dyDescent="0.2">
      <c r="B38" t="s">
        <v>3347</v>
      </c>
      <c r="C38">
        <v>1</v>
      </c>
      <c r="D38">
        <v>3000</v>
      </c>
      <c r="E38">
        <f>C38*D38</f>
        <v>3000</v>
      </c>
    </row>
    <row r="42" spans="2:6" x14ac:dyDescent="0.2">
      <c r="D42" t="s">
        <v>438</v>
      </c>
      <c r="E42" t="s">
        <v>439</v>
      </c>
    </row>
    <row r="43" spans="2:6" x14ac:dyDescent="0.2">
      <c r="B43" s="588" t="s">
        <v>3360</v>
      </c>
      <c r="C43" s="588"/>
      <c r="D43" s="980">
        <v>130000</v>
      </c>
      <c r="E43" s="980">
        <v>56000</v>
      </c>
      <c r="F43" s="981"/>
    </row>
    <row r="44" spans="2:6" x14ac:dyDescent="0.2">
      <c r="B44" s="588" t="s">
        <v>3362</v>
      </c>
      <c r="C44" s="588"/>
      <c r="D44" s="980">
        <v>5000</v>
      </c>
      <c r="E44" s="980"/>
      <c r="F44" s="981"/>
    </row>
    <row r="45" spans="2:6" x14ac:dyDescent="0.2">
      <c r="B45" s="588" t="s">
        <v>2908</v>
      </c>
      <c r="C45" s="588"/>
      <c r="D45" s="980">
        <v>20000</v>
      </c>
      <c r="E45" s="980"/>
      <c r="F45" s="981"/>
    </row>
    <row r="46" spans="2:6" x14ac:dyDescent="0.2">
      <c r="B46" s="588" t="s">
        <v>2908</v>
      </c>
      <c r="C46" s="588"/>
      <c r="D46" s="980">
        <v>5000</v>
      </c>
      <c r="E46" s="980">
        <v>10500</v>
      </c>
      <c r="F46" s="981"/>
    </row>
    <row r="47" spans="2:6" x14ac:dyDescent="0.2">
      <c r="B47" s="588" t="s">
        <v>3364</v>
      </c>
      <c r="C47" s="588"/>
      <c r="D47" s="980">
        <v>7500</v>
      </c>
      <c r="E47" s="980"/>
      <c r="F47" s="981"/>
    </row>
    <row r="48" spans="2:6" x14ac:dyDescent="0.2">
      <c r="B48" s="588" t="s">
        <v>2860</v>
      </c>
      <c r="C48" s="588"/>
      <c r="D48" s="980">
        <v>144000</v>
      </c>
      <c r="E48" s="980">
        <v>73000</v>
      </c>
      <c r="F48" s="981"/>
    </row>
    <row r="49" spans="2:6" x14ac:dyDescent="0.2">
      <c r="B49" s="588" t="s">
        <v>3363</v>
      </c>
      <c r="C49" s="588"/>
      <c r="D49" s="980">
        <v>6000</v>
      </c>
      <c r="E49" s="980">
        <v>9000</v>
      </c>
      <c r="F49" s="981"/>
    </row>
    <row r="50" spans="2:6" x14ac:dyDescent="0.2">
      <c r="B50" s="588" t="s">
        <v>3336</v>
      </c>
      <c r="C50" s="588"/>
      <c r="D50" s="980">
        <v>53000</v>
      </c>
      <c r="E50" s="980">
        <v>28000</v>
      </c>
      <c r="F50" s="981"/>
    </row>
    <row r="51" spans="2:6" x14ac:dyDescent="0.2">
      <c r="B51" s="588" t="s">
        <v>3365</v>
      </c>
      <c r="C51" s="588"/>
      <c r="D51" s="980">
        <v>7000</v>
      </c>
      <c r="E51" s="980"/>
      <c r="F51" s="981"/>
    </row>
    <row r="52" spans="2:6" x14ac:dyDescent="0.2">
      <c r="B52" s="588" t="s">
        <v>3361</v>
      </c>
      <c r="C52" s="588"/>
      <c r="D52" s="980"/>
      <c r="E52" s="980">
        <v>40000</v>
      </c>
      <c r="F52" s="981"/>
    </row>
    <row r="53" spans="2:6" x14ac:dyDescent="0.2">
      <c r="B53" s="588" t="s">
        <v>2893</v>
      </c>
      <c r="C53" s="588"/>
      <c r="D53" s="980">
        <v>13000</v>
      </c>
      <c r="E53" s="980"/>
      <c r="F53" s="981"/>
    </row>
    <row r="54" spans="2:6" x14ac:dyDescent="0.2">
      <c r="B54" t="s">
        <v>3366</v>
      </c>
      <c r="D54" s="981"/>
      <c r="E54" s="981">
        <v>4000</v>
      </c>
      <c r="F54" s="981"/>
    </row>
    <row r="55" spans="2:6" x14ac:dyDescent="0.2">
      <c r="B55" s="588" t="s">
        <v>987</v>
      </c>
      <c r="D55" s="981"/>
      <c r="E55" s="981">
        <v>70000</v>
      </c>
      <c r="F55" s="981"/>
    </row>
    <row r="56" spans="2:6" x14ac:dyDescent="0.2">
      <c r="B56" s="588" t="s">
        <v>2899</v>
      </c>
      <c r="D56" s="981">
        <v>24500</v>
      </c>
      <c r="E56" s="981">
        <v>6000</v>
      </c>
      <c r="F56" s="981"/>
    </row>
    <row r="57" spans="2:6" x14ac:dyDescent="0.2">
      <c r="B57" t="s">
        <v>3367</v>
      </c>
      <c r="D57" s="981"/>
      <c r="E57" s="981">
        <v>8500</v>
      </c>
      <c r="F57" s="981"/>
    </row>
    <row r="58" spans="2:6" ht="15.75" x14ac:dyDescent="0.25">
      <c r="D58" s="982">
        <f>SUM(D43:D57)</f>
        <v>415000</v>
      </c>
      <c r="E58" s="982">
        <f>SUM(E43:E57)</f>
        <v>305000</v>
      </c>
      <c r="F58" s="983">
        <f>D58+E58</f>
        <v>720000</v>
      </c>
    </row>
    <row r="61" spans="2:6" x14ac:dyDescent="0.2">
      <c r="B61" t="s">
        <v>3373</v>
      </c>
      <c r="D61" t="s">
        <v>438</v>
      </c>
      <c r="E61" t="s">
        <v>439</v>
      </c>
    </row>
    <row r="62" spans="2:6" x14ac:dyDescent="0.2">
      <c r="B62" s="588"/>
      <c r="C62" s="588"/>
      <c r="D62" s="980">
        <v>85000</v>
      </c>
      <c r="E62" s="980">
        <v>81000</v>
      </c>
    </row>
    <row r="63" spans="2:6" x14ac:dyDescent="0.2">
      <c r="B63" s="588" t="s">
        <v>3362</v>
      </c>
      <c r="C63" s="588"/>
      <c r="D63" s="980">
        <v>7500</v>
      </c>
      <c r="E63" s="980"/>
    </row>
    <row r="64" spans="2:6" x14ac:dyDescent="0.2">
      <c r="B64" s="588"/>
      <c r="C64" s="588"/>
      <c r="D64" s="980"/>
      <c r="E64" s="980"/>
    </row>
    <row r="65" spans="2:6" x14ac:dyDescent="0.2">
      <c r="B65" s="588"/>
      <c r="C65" s="588"/>
      <c r="D65" s="980"/>
      <c r="E65" s="980"/>
    </row>
    <row r="66" spans="2:6" x14ac:dyDescent="0.2">
      <c r="B66" s="588"/>
      <c r="C66" s="588"/>
      <c r="D66" s="980"/>
      <c r="E66" s="980"/>
    </row>
    <row r="67" spans="2:6" x14ac:dyDescent="0.2">
      <c r="B67" s="588"/>
      <c r="C67" s="588"/>
      <c r="D67" s="980"/>
      <c r="E67" s="980"/>
    </row>
    <row r="68" spans="2:6" x14ac:dyDescent="0.2">
      <c r="B68" s="588"/>
      <c r="C68" s="588"/>
      <c r="D68" s="980"/>
      <c r="E68" s="980"/>
    </row>
    <row r="69" spans="2:6" x14ac:dyDescent="0.2">
      <c r="B69" s="588"/>
      <c r="C69" s="588"/>
      <c r="D69" s="980"/>
      <c r="E69" s="980"/>
    </row>
    <row r="70" spans="2:6" x14ac:dyDescent="0.2">
      <c r="D70" s="981"/>
      <c r="E70" s="981"/>
    </row>
    <row r="71" spans="2:6" ht="15.75" x14ac:dyDescent="0.25">
      <c r="D71" s="982">
        <f>SUM(D62:D70)</f>
        <v>92500</v>
      </c>
      <c r="E71" s="982">
        <f>SUM(E62:E70)</f>
        <v>81000</v>
      </c>
      <c r="F71" s="983">
        <f>D71+E71</f>
        <v>173500</v>
      </c>
    </row>
  </sheetData>
  <pageMargins left="0.7" right="0.7" top="0.75" bottom="0.75" header="0.3" footer="0.3"/>
  <pageSetup paperSize="9"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Munka28"/>
  <dimension ref="A2:L68"/>
  <sheetViews>
    <sheetView topLeftCell="D43" workbookViewId="0">
      <selection activeCell="H53" sqref="H53"/>
    </sheetView>
  </sheetViews>
  <sheetFormatPr defaultRowHeight="12.75" x14ac:dyDescent="0.2"/>
  <cols>
    <col min="1" max="1" width="27.42578125" bestFit="1" customWidth="1"/>
    <col min="6" max="6" width="14.7109375" bestFit="1" customWidth="1"/>
    <col min="11" max="11" width="14.7109375" bestFit="1" customWidth="1"/>
  </cols>
  <sheetData>
    <row r="2" spans="1:7" x14ac:dyDescent="0.2">
      <c r="A2" t="s">
        <v>3431</v>
      </c>
      <c r="B2" t="s">
        <v>642</v>
      </c>
      <c r="C2" t="s">
        <v>3368</v>
      </c>
      <c r="D2" t="s">
        <v>2001</v>
      </c>
    </row>
    <row r="3" spans="1:7" x14ac:dyDescent="0.2">
      <c r="B3">
        <v>2</v>
      </c>
      <c r="C3">
        <v>2440</v>
      </c>
      <c r="D3">
        <v>430</v>
      </c>
      <c r="E3">
        <f>B3*C3*D3/1000000</f>
        <v>2.0983999999999998</v>
      </c>
    </row>
    <row r="4" spans="1:7" x14ac:dyDescent="0.2">
      <c r="B4">
        <v>2</v>
      </c>
      <c r="C4">
        <v>1145</v>
      </c>
      <c r="D4">
        <v>430</v>
      </c>
      <c r="E4">
        <f>B4*C4*D4/1000000</f>
        <v>0.98470000000000002</v>
      </c>
    </row>
    <row r="5" spans="1:7" x14ac:dyDescent="0.2">
      <c r="B5">
        <v>2</v>
      </c>
      <c r="C5">
        <v>1105</v>
      </c>
      <c r="D5">
        <v>430</v>
      </c>
      <c r="E5">
        <f>B5*C5*D5/1000000</f>
        <v>0.95030000000000003</v>
      </c>
    </row>
    <row r="6" spans="1:7" x14ac:dyDescent="0.2">
      <c r="B6">
        <v>1</v>
      </c>
      <c r="C6">
        <v>1400</v>
      </c>
      <c r="D6">
        <v>430</v>
      </c>
      <c r="E6">
        <f>B6*C6*D6/1000000</f>
        <v>0.60199999999999998</v>
      </c>
    </row>
    <row r="7" spans="1:7" x14ac:dyDescent="0.2">
      <c r="B7">
        <v>1</v>
      </c>
      <c r="C7">
        <v>500</v>
      </c>
      <c r="D7">
        <v>430</v>
      </c>
      <c r="E7">
        <f>B7*C7*D7/1000000</f>
        <v>0.215</v>
      </c>
    </row>
    <row r="8" spans="1:7" x14ac:dyDescent="0.2">
      <c r="B8">
        <v>1</v>
      </c>
      <c r="E8" s="691">
        <f>SUM(E3:E7)</f>
        <v>4.8504000000000005</v>
      </c>
      <c r="F8">
        <v>4000</v>
      </c>
      <c r="G8">
        <f>B8*E8*F8</f>
        <v>19401.600000000002</v>
      </c>
    </row>
    <row r="10" spans="1:7" x14ac:dyDescent="0.2">
      <c r="A10" t="s">
        <v>3432</v>
      </c>
      <c r="B10">
        <v>1</v>
      </c>
      <c r="C10">
        <v>1105</v>
      </c>
      <c r="D10">
        <v>430</v>
      </c>
      <c r="E10">
        <f>B10*C10*D10/1000000</f>
        <v>0.47515000000000002</v>
      </c>
    </row>
    <row r="11" spans="1:7" x14ac:dyDescent="0.2">
      <c r="B11">
        <v>6</v>
      </c>
      <c r="C11">
        <v>385</v>
      </c>
      <c r="D11">
        <v>430</v>
      </c>
      <c r="E11">
        <f>B11*C11*D11/1000000</f>
        <v>0.99329999999999996</v>
      </c>
    </row>
    <row r="12" spans="1:7" x14ac:dyDescent="0.2">
      <c r="B12">
        <v>1</v>
      </c>
      <c r="E12" s="691">
        <f>SUM(E10:E11)</f>
        <v>1.46845</v>
      </c>
      <c r="F12">
        <v>4000</v>
      </c>
      <c r="G12">
        <f>B12*E12*F12</f>
        <v>5873.8</v>
      </c>
    </row>
    <row r="14" spans="1:7" x14ac:dyDescent="0.2">
      <c r="A14" t="s">
        <v>3433</v>
      </c>
      <c r="B14">
        <v>1</v>
      </c>
      <c r="C14">
        <v>1420</v>
      </c>
      <c r="D14">
        <v>572.5</v>
      </c>
      <c r="E14">
        <f>B14*C14*D14/1000000</f>
        <v>0.81294999999999995</v>
      </c>
    </row>
    <row r="15" spans="1:7" x14ac:dyDescent="0.2">
      <c r="B15">
        <v>1</v>
      </c>
      <c r="C15">
        <v>530</v>
      </c>
      <c r="D15">
        <v>572.5</v>
      </c>
      <c r="E15">
        <f>B15*C15*D15/1000000</f>
        <v>0.303425</v>
      </c>
    </row>
    <row r="16" spans="1:7" x14ac:dyDescent="0.2">
      <c r="B16">
        <v>2</v>
      </c>
      <c r="E16" s="691">
        <f>SUM(E14:E15)</f>
        <v>1.1163749999999999</v>
      </c>
      <c r="F16">
        <v>4000</v>
      </c>
      <c r="G16">
        <f>B16*E16*F16</f>
        <v>8931</v>
      </c>
    </row>
    <row r="17" spans="1:7" x14ac:dyDescent="0.2">
      <c r="A17" t="s">
        <v>3441</v>
      </c>
      <c r="B17">
        <v>10</v>
      </c>
      <c r="C17" t="s">
        <v>3439</v>
      </c>
      <c r="E17">
        <v>1</v>
      </c>
      <c r="F17">
        <v>990</v>
      </c>
      <c r="G17">
        <f>B17*F17</f>
        <v>9900</v>
      </c>
    </row>
    <row r="20" spans="1:7" x14ac:dyDescent="0.2">
      <c r="A20" t="s">
        <v>3434</v>
      </c>
    </row>
    <row r="21" spans="1:7" x14ac:dyDescent="0.2">
      <c r="A21" s="66" t="s">
        <v>3435</v>
      </c>
      <c r="B21">
        <v>4</v>
      </c>
      <c r="C21">
        <v>260</v>
      </c>
      <c r="D21">
        <v>572.5</v>
      </c>
      <c r="E21">
        <f>B21*C21*D21/1000000</f>
        <v>0.59540000000000004</v>
      </c>
    </row>
    <row r="22" spans="1:7" x14ac:dyDescent="0.2">
      <c r="A22" s="66" t="s">
        <v>3436</v>
      </c>
      <c r="B22">
        <v>1</v>
      </c>
      <c r="C22">
        <v>51.65</v>
      </c>
      <c r="D22">
        <v>430</v>
      </c>
      <c r="E22">
        <f>B22*C22*D22/1000000</f>
        <v>2.22095E-2</v>
      </c>
    </row>
    <row r="23" spans="1:7" x14ac:dyDescent="0.2">
      <c r="A23" s="66" t="s">
        <v>3437</v>
      </c>
      <c r="B23">
        <v>2</v>
      </c>
      <c r="C23">
        <v>430</v>
      </c>
      <c r="D23">
        <v>200</v>
      </c>
      <c r="E23">
        <f>B23*C23*D23/1000000</f>
        <v>0.17199999999999999</v>
      </c>
    </row>
    <row r="24" spans="1:7" x14ac:dyDescent="0.2">
      <c r="A24" s="66" t="s">
        <v>3438</v>
      </c>
      <c r="B24">
        <v>1</v>
      </c>
      <c r="C24">
        <v>476.5</v>
      </c>
      <c r="D24">
        <v>200</v>
      </c>
      <c r="E24">
        <f>B24*C24*D24/1000000</f>
        <v>9.5299999999999996E-2</v>
      </c>
    </row>
    <row r="25" spans="1:7" x14ac:dyDescent="0.2">
      <c r="B25">
        <v>4</v>
      </c>
      <c r="E25" s="691">
        <f>SUM(E21:E24)</f>
        <v>0.88490950000000002</v>
      </c>
      <c r="F25">
        <v>4000</v>
      </c>
      <c r="G25">
        <f>B25*E25*F25</f>
        <v>14158.552</v>
      </c>
    </row>
    <row r="26" spans="1:7" x14ac:dyDescent="0.2">
      <c r="A26" s="66" t="s">
        <v>3440</v>
      </c>
      <c r="B26">
        <v>4</v>
      </c>
      <c r="C26" t="s">
        <v>3439</v>
      </c>
      <c r="E26">
        <v>1</v>
      </c>
      <c r="F26">
        <v>818</v>
      </c>
      <c r="G26">
        <f>B26*E26*F26</f>
        <v>3272</v>
      </c>
    </row>
    <row r="30" spans="1:7" x14ac:dyDescent="0.2">
      <c r="A30" s="104" t="s">
        <v>3494</v>
      </c>
      <c r="E30" s="691" t="s">
        <v>3507</v>
      </c>
      <c r="F30" s="691"/>
    </row>
    <row r="31" spans="1:7" x14ac:dyDescent="0.2">
      <c r="A31" t="s">
        <v>3431</v>
      </c>
      <c r="B31" t="s">
        <v>642</v>
      </c>
      <c r="C31" t="s">
        <v>3368</v>
      </c>
      <c r="D31" t="s">
        <v>2001</v>
      </c>
    </row>
    <row r="32" spans="1:7" x14ac:dyDescent="0.2">
      <c r="A32" t="s">
        <v>3493</v>
      </c>
      <c r="B32">
        <v>3</v>
      </c>
      <c r="E32">
        <v>2072</v>
      </c>
      <c r="F32">
        <f t="shared" ref="F32:F41" si="0">B32*E32</f>
        <v>6216</v>
      </c>
    </row>
    <row r="33" spans="1:11" x14ac:dyDescent="0.2">
      <c r="A33" t="s">
        <v>3495</v>
      </c>
      <c r="B33">
        <v>1</v>
      </c>
      <c r="C33">
        <v>3</v>
      </c>
      <c r="E33">
        <v>3052</v>
      </c>
      <c r="F33">
        <f t="shared" si="0"/>
        <v>3052</v>
      </c>
    </row>
    <row r="34" spans="1:11" x14ac:dyDescent="0.2">
      <c r="A34" t="s">
        <v>3496</v>
      </c>
      <c r="B34">
        <v>1</v>
      </c>
      <c r="C34">
        <v>3</v>
      </c>
      <c r="E34">
        <v>4710</v>
      </c>
      <c r="F34">
        <f t="shared" si="0"/>
        <v>4710</v>
      </c>
    </row>
    <row r="35" spans="1:11" x14ac:dyDescent="0.2">
      <c r="A35" t="s">
        <v>3497</v>
      </c>
      <c r="B35">
        <v>6</v>
      </c>
      <c r="C35">
        <v>2.7</v>
      </c>
      <c r="E35">
        <v>2395</v>
      </c>
      <c r="F35">
        <f t="shared" si="0"/>
        <v>14370</v>
      </c>
    </row>
    <row r="36" spans="1:11" x14ac:dyDescent="0.2">
      <c r="A36" t="s">
        <v>3498</v>
      </c>
      <c r="B36">
        <v>2</v>
      </c>
      <c r="C36">
        <v>3</v>
      </c>
      <c r="E36">
        <v>1459</v>
      </c>
      <c r="F36">
        <f t="shared" si="0"/>
        <v>2918</v>
      </c>
    </row>
    <row r="37" spans="1:11" ht="28.5" customHeight="1" x14ac:dyDescent="0.2">
      <c r="A37" s="105" t="s">
        <v>3499</v>
      </c>
      <c r="B37">
        <v>5</v>
      </c>
      <c r="C37">
        <v>15</v>
      </c>
      <c r="E37">
        <v>94</v>
      </c>
      <c r="F37">
        <f t="shared" si="0"/>
        <v>470</v>
      </c>
    </row>
    <row r="38" spans="1:11" ht="25.5" x14ac:dyDescent="0.2">
      <c r="A38" s="105" t="s">
        <v>3500</v>
      </c>
      <c r="B38">
        <v>5</v>
      </c>
      <c r="C38">
        <v>5</v>
      </c>
      <c r="E38">
        <v>44</v>
      </c>
      <c r="F38">
        <f t="shared" si="0"/>
        <v>220</v>
      </c>
    </row>
    <row r="39" spans="1:11" x14ac:dyDescent="0.2">
      <c r="A39" t="s">
        <v>3501</v>
      </c>
      <c r="B39">
        <v>4</v>
      </c>
      <c r="E39">
        <v>68</v>
      </c>
      <c r="F39">
        <f t="shared" si="0"/>
        <v>272</v>
      </c>
    </row>
    <row r="40" spans="1:11" x14ac:dyDescent="0.2">
      <c r="A40" t="s">
        <v>3502</v>
      </c>
      <c r="B40">
        <v>1</v>
      </c>
      <c r="E40">
        <v>2793</v>
      </c>
      <c r="F40">
        <f t="shared" si="0"/>
        <v>2793</v>
      </c>
    </row>
    <row r="41" spans="1:11" x14ac:dyDescent="0.2">
      <c r="A41" t="s">
        <v>3503</v>
      </c>
      <c r="B41">
        <v>1</v>
      </c>
      <c r="E41">
        <v>2793</v>
      </c>
      <c r="F41">
        <f t="shared" si="0"/>
        <v>2793</v>
      </c>
    </row>
    <row r="42" spans="1:11" x14ac:dyDescent="0.2">
      <c r="F42" s="999">
        <f>SUM(F32:F41)</f>
        <v>37814</v>
      </c>
    </row>
    <row r="44" spans="1:11" x14ac:dyDescent="0.2">
      <c r="J44" t="s">
        <v>3512</v>
      </c>
      <c r="K44">
        <v>3.2</v>
      </c>
    </row>
    <row r="45" spans="1:11" x14ac:dyDescent="0.2">
      <c r="A45" s="104" t="s">
        <v>3494</v>
      </c>
      <c r="E45" s="691" t="s">
        <v>3508</v>
      </c>
      <c r="F45" s="691"/>
      <c r="K45">
        <v>10.7</v>
      </c>
    </row>
    <row r="46" spans="1:11" x14ac:dyDescent="0.2">
      <c r="A46" t="s">
        <v>3431</v>
      </c>
      <c r="B46" t="s">
        <v>642</v>
      </c>
      <c r="C46" t="s">
        <v>3368</v>
      </c>
      <c r="D46" t="s">
        <v>2001</v>
      </c>
      <c r="K46">
        <v>0.82</v>
      </c>
    </row>
    <row r="47" spans="1:11" x14ac:dyDescent="0.2">
      <c r="A47" s="588" t="s">
        <v>3493</v>
      </c>
      <c r="B47">
        <v>4</v>
      </c>
      <c r="E47">
        <v>2072</v>
      </c>
      <c r="F47">
        <f t="shared" ref="F47:F57" si="1">B47*E47</f>
        <v>8288</v>
      </c>
      <c r="K47">
        <v>0.9</v>
      </c>
    </row>
    <row r="48" spans="1:11" x14ac:dyDescent="0.2">
      <c r="A48" s="588" t="s">
        <v>3511</v>
      </c>
      <c r="B48">
        <v>1</v>
      </c>
      <c r="C48">
        <v>3</v>
      </c>
      <c r="E48">
        <v>3052</v>
      </c>
      <c r="F48">
        <f t="shared" si="1"/>
        <v>3052</v>
      </c>
      <c r="K48">
        <v>3.2</v>
      </c>
    </row>
    <row r="49" spans="1:12" x14ac:dyDescent="0.2">
      <c r="A49" s="588" t="s">
        <v>3510</v>
      </c>
      <c r="B49">
        <v>1</v>
      </c>
      <c r="C49">
        <v>3</v>
      </c>
      <c r="E49">
        <v>4710</v>
      </c>
      <c r="F49">
        <f t="shared" si="1"/>
        <v>4710</v>
      </c>
      <c r="K49">
        <v>2.2000000000000002</v>
      </c>
    </row>
    <row r="50" spans="1:12" x14ac:dyDescent="0.2">
      <c r="A50" s="588" t="s">
        <v>3509</v>
      </c>
      <c r="B50">
        <v>8</v>
      </c>
      <c r="C50">
        <v>2.7</v>
      </c>
      <c r="E50">
        <v>2395</v>
      </c>
      <c r="F50">
        <f t="shared" si="1"/>
        <v>19160</v>
      </c>
      <c r="K50">
        <v>2.2000000000000002</v>
      </c>
    </row>
    <row r="51" spans="1:12" x14ac:dyDescent="0.2">
      <c r="A51" s="588" t="s">
        <v>3515</v>
      </c>
      <c r="B51">
        <v>2</v>
      </c>
      <c r="C51">
        <v>3</v>
      </c>
      <c r="E51">
        <v>2619</v>
      </c>
      <c r="F51">
        <f>B51*E51</f>
        <v>5238</v>
      </c>
    </row>
    <row r="52" spans="1:12" x14ac:dyDescent="0.2">
      <c r="A52" s="588" t="s">
        <v>3498</v>
      </c>
      <c r="B52">
        <v>2</v>
      </c>
      <c r="C52">
        <v>3</v>
      </c>
      <c r="E52">
        <v>1229</v>
      </c>
      <c r="F52">
        <f t="shared" si="1"/>
        <v>2458</v>
      </c>
      <c r="K52">
        <v>2.2000000000000002</v>
      </c>
    </row>
    <row r="53" spans="1:12" ht="25.5" x14ac:dyDescent="0.2">
      <c r="A53" s="591" t="s">
        <v>3499</v>
      </c>
      <c r="B53">
        <v>5</v>
      </c>
      <c r="C53">
        <v>15</v>
      </c>
      <c r="E53">
        <v>94</v>
      </c>
      <c r="F53">
        <f t="shared" si="1"/>
        <v>470</v>
      </c>
      <c r="K53">
        <v>2.4</v>
      </c>
    </row>
    <row r="54" spans="1:12" ht="25.5" x14ac:dyDescent="0.2">
      <c r="A54" s="591" t="s">
        <v>3500</v>
      </c>
      <c r="B54">
        <v>10</v>
      </c>
      <c r="C54">
        <v>2.5</v>
      </c>
      <c r="E54">
        <v>44</v>
      </c>
      <c r="F54">
        <f t="shared" si="1"/>
        <v>440</v>
      </c>
      <c r="K54">
        <v>2.4</v>
      </c>
    </row>
    <row r="55" spans="1:12" x14ac:dyDescent="0.2">
      <c r="A55" s="588" t="s">
        <v>3501</v>
      </c>
      <c r="B55">
        <v>2</v>
      </c>
      <c r="E55">
        <v>68</v>
      </c>
      <c r="F55">
        <f t="shared" si="1"/>
        <v>136</v>
      </c>
      <c r="K55">
        <v>2.4</v>
      </c>
    </row>
    <row r="56" spans="1:12" x14ac:dyDescent="0.2">
      <c r="A56" s="588" t="s">
        <v>3502</v>
      </c>
      <c r="B56">
        <v>1</v>
      </c>
      <c r="E56">
        <v>2793</v>
      </c>
      <c r="F56">
        <f t="shared" si="1"/>
        <v>2793</v>
      </c>
      <c r="K56">
        <v>8.4</v>
      </c>
      <c r="L56" s="691"/>
    </row>
    <row r="57" spans="1:12" x14ac:dyDescent="0.2">
      <c r="A57" s="588" t="s">
        <v>3503</v>
      </c>
      <c r="B57">
        <v>1</v>
      </c>
      <c r="E57">
        <v>2793</v>
      </c>
      <c r="F57">
        <f t="shared" si="1"/>
        <v>2793</v>
      </c>
      <c r="K57">
        <v>2.77</v>
      </c>
    </row>
    <row r="58" spans="1:12" x14ac:dyDescent="0.2">
      <c r="F58" s="1000">
        <f>SUM(F47:F57)</f>
        <v>49538</v>
      </c>
      <c r="K58" s="691">
        <f>SUM(K44:K57)</f>
        <v>43.79</v>
      </c>
      <c r="L58" s="691" t="s">
        <v>618</v>
      </c>
    </row>
    <row r="61" spans="1:12" x14ac:dyDescent="0.2">
      <c r="D61" t="s">
        <v>3513</v>
      </c>
      <c r="E61">
        <v>57.5</v>
      </c>
      <c r="F61">
        <v>276</v>
      </c>
      <c r="G61">
        <f>F61*$E$61/10000</f>
        <v>1.587</v>
      </c>
      <c r="H61">
        <v>1</v>
      </c>
      <c r="I61">
        <f>G61*H61</f>
        <v>1.587</v>
      </c>
    </row>
    <row r="62" spans="1:12" x14ac:dyDescent="0.2">
      <c r="F62">
        <v>200</v>
      </c>
      <c r="G62">
        <f>F62*$E$61/10000</f>
        <v>1.1499999999999999</v>
      </c>
      <c r="H62">
        <v>3</v>
      </c>
      <c r="I62">
        <f>G62*H62</f>
        <v>3.4499999999999997</v>
      </c>
    </row>
    <row r="63" spans="1:12" x14ac:dyDescent="0.2">
      <c r="F63">
        <v>96.2</v>
      </c>
      <c r="G63">
        <f>F63*$E$61/10000</f>
        <v>0.55315000000000003</v>
      </c>
      <c r="H63">
        <v>1</v>
      </c>
      <c r="I63">
        <f>G63*H63</f>
        <v>0.55315000000000003</v>
      </c>
    </row>
    <row r="64" spans="1:12" x14ac:dyDescent="0.2">
      <c r="F64">
        <v>82</v>
      </c>
      <c r="G64">
        <f>F64*$E$61/10000</f>
        <v>0.47149999999999997</v>
      </c>
      <c r="H64">
        <v>5</v>
      </c>
      <c r="I64">
        <f>G64*H64</f>
        <v>2.3574999999999999</v>
      </c>
    </row>
    <row r="65" spans="4:11" x14ac:dyDescent="0.2">
      <c r="F65">
        <v>46.2</v>
      </c>
      <c r="G65">
        <f>F65*$E$61/10000</f>
        <v>0.26565</v>
      </c>
      <c r="H65">
        <v>4</v>
      </c>
      <c r="I65">
        <f>G65*H65</f>
        <v>1.0626</v>
      </c>
    </row>
    <row r="66" spans="4:11" x14ac:dyDescent="0.2">
      <c r="I66" s="691">
        <f>SUM(I61:I65)</f>
        <v>9.0102499999999992</v>
      </c>
      <c r="J66">
        <v>4000</v>
      </c>
      <c r="K66" s="999">
        <f>I66*J66</f>
        <v>36041</v>
      </c>
    </row>
    <row r="68" spans="4:11" x14ac:dyDescent="0.2">
      <c r="D68" t="s">
        <v>3514</v>
      </c>
      <c r="E68">
        <v>68.400000000000006</v>
      </c>
      <c r="F68">
        <v>250</v>
      </c>
      <c r="G68">
        <f>F68*E68/10000</f>
        <v>1.71</v>
      </c>
      <c r="H68">
        <v>4</v>
      </c>
      <c r="I68" s="691">
        <f>G68*H68</f>
        <v>6.84</v>
      </c>
      <c r="J68">
        <v>5000</v>
      </c>
      <c r="K68" s="999">
        <f>I68*J68</f>
        <v>34200</v>
      </c>
    </row>
  </sheetData>
  <hyperlinks>
    <hyperlink ref="A30" r:id="rId1" xr:uid="{00000000-0004-0000-1100-000000000000}"/>
    <hyperlink ref="A45" r:id="rId2" xr:uid="{00000000-0004-0000-1100-000001000000}"/>
  </hyperlinks>
  <pageMargins left="0.7" right="0.7" top="0.75" bottom="0.75" header="0.3" footer="0.3"/>
  <pageSetup paperSize="9" orientation="portrait" horizontalDpi="4294967293" verticalDpi="4294967293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Munka29"/>
  <dimension ref="A2:L22"/>
  <sheetViews>
    <sheetView workbookViewId="0">
      <selection activeCell="H21" sqref="H12:H21"/>
    </sheetView>
  </sheetViews>
  <sheetFormatPr defaultRowHeight="12.75" x14ac:dyDescent="0.2"/>
  <cols>
    <col min="1" max="1" width="33" customWidth="1"/>
    <col min="2" max="6" width="9.140625" style="1"/>
    <col min="7" max="8" width="14.140625" customWidth="1"/>
    <col min="9" max="12" width="4.140625" customWidth="1"/>
  </cols>
  <sheetData>
    <row r="2" spans="1:12" x14ac:dyDescent="0.2">
      <c r="B2" s="1" t="s">
        <v>642</v>
      </c>
      <c r="C2" s="1" t="s">
        <v>2001</v>
      </c>
      <c r="D2" s="1" t="s">
        <v>3368</v>
      </c>
      <c r="E2" s="1" t="s">
        <v>1024</v>
      </c>
      <c r="F2" s="1" t="s">
        <v>623</v>
      </c>
      <c r="G2" t="s">
        <v>3370</v>
      </c>
      <c r="H2" t="s">
        <v>1413</v>
      </c>
    </row>
    <row r="3" spans="1:12" x14ac:dyDescent="0.2">
      <c r="A3" s="588" t="s">
        <v>3369</v>
      </c>
      <c r="B3" s="1">
        <v>7</v>
      </c>
      <c r="C3" s="1">
        <v>10</v>
      </c>
      <c r="D3" s="1">
        <v>10</v>
      </c>
      <c r="E3" s="1">
        <v>200</v>
      </c>
      <c r="F3" s="1">
        <f t="shared" ref="F3:F8" si="0">B3*C3*D3*E3/1000000</f>
        <v>0.14000000000000001</v>
      </c>
      <c r="G3" s="617">
        <v>70000</v>
      </c>
      <c r="H3" s="617">
        <f t="shared" ref="H3:H8" si="1">G3*F3</f>
        <v>9800.0000000000018</v>
      </c>
      <c r="I3" t="s">
        <v>737</v>
      </c>
      <c r="J3">
        <v>2</v>
      </c>
      <c r="K3" t="s">
        <v>3411</v>
      </c>
      <c r="L3">
        <v>1</v>
      </c>
    </row>
    <row r="4" spans="1:12" x14ac:dyDescent="0.2">
      <c r="A4" s="588" t="s">
        <v>3372</v>
      </c>
      <c r="B4" s="1">
        <v>4</v>
      </c>
      <c r="C4" s="1">
        <v>10</v>
      </c>
      <c r="D4" s="1">
        <v>10</v>
      </c>
      <c r="E4" s="1">
        <v>500</v>
      </c>
      <c r="F4" s="1">
        <f t="shared" si="0"/>
        <v>0.2</v>
      </c>
      <c r="G4" s="617">
        <v>70000</v>
      </c>
      <c r="H4" s="617">
        <f t="shared" si="1"/>
        <v>14000</v>
      </c>
      <c r="I4" t="s">
        <v>3410</v>
      </c>
      <c r="J4">
        <v>4</v>
      </c>
    </row>
    <row r="5" spans="1:12" x14ac:dyDescent="0.2">
      <c r="A5" s="588" t="s">
        <v>3371</v>
      </c>
      <c r="B5" s="1">
        <v>16</v>
      </c>
      <c r="C5" s="1">
        <v>5</v>
      </c>
      <c r="D5" s="1">
        <v>10</v>
      </c>
      <c r="E5" s="1">
        <v>350</v>
      </c>
      <c r="F5" s="1">
        <f t="shared" si="0"/>
        <v>0.28000000000000003</v>
      </c>
      <c r="G5" s="617">
        <v>70000</v>
      </c>
      <c r="H5" s="617">
        <f t="shared" si="1"/>
        <v>19600.000000000004</v>
      </c>
      <c r="I5" t="s">
        <v>3409</v>
      </c>
      <c r="J5">
        <v>8</v>
      </c>
    </row>
    <row r="6" spans="1:12" x14ac:dyDescent="0.2">
      <c r="A6" s="588" t="s">
        <v>3377</v>
      </c>
      <c r="B6" s="727">
        <v>8</v>
      </c>
      <c r="C6" s="1">
        <v>5</v>
      </c>
      <c r="D6" s="1">
        <v>10</v>
      </c>
      <c r="E6" s="1">
        <v>75</v>
      </c>
      <c r="F6" s="1">
        <f t="shared" si="0"/>
        <v>0.03</v>
      </c>
      <c r="G6" s="617">
        <v>70000</v>
      </c>
      <c r="H6" s="617">
        <f t="shared" si="1"/>
        <v>2100</v>
      </c>
      <c r="I6" t="s">
        <v>737</v>
      </c>
      <c r="J6">
        <v>1</v>
      </c>
    </row>
    <row r="7" spans="1:12" x14ac:dyDescent="0.2">
      <c r="A7" s="588" t="s">
        <v>3378</v>
      </c>
      <c r="B7" s="1">
        <v>8</v>
      </c>
      <c r="C7" s="1">
        <v>10</v>
      </c>
      <c r="D7" s="1">
        <v>10</v>
      </c>
      <c r="E7" s="1">
        <v>150</v>
      </c>
      <c r="F7" s="1">
        <f t="shared" si="0"/>
        <v>0.12</v>
      </c>
      <c r="G7" s="617">
        <v>70000</v>
      </c>
      <c r="H7" s="617">
        <f t="shared" si="1"/>
        <v>8400</v>
      </c>
      <c r="I7" t="s">
        <v>737</v>
      </c>
      <c r="J7">
        <v>2</v>
      </c>
    </row>
    <row r="8" spans="1:12" x14ac:dyDescent="0.2">
      <c r="A8" t="s">
        <v>3379</v>
      </c>
      <c r="B8" s="1">
        <v>7</v>
      </c>
      <c r="C8" s="1">
        <v>100</v>
      </c>
      <c r="D8" s="1">
        <v>100</v>
      </c>
      <c r="E8" s="1">
        <v>100</v>
      </c>
      <c r="F8" s="1">
        <f t="shared" si="0"/>
        <v>7</v>
      </c>
      <c r="G8" s="617">
        <v>1500</v>
      </c>
      <c r="H8" s="617">
        <f t="shared" si="1"/>
        <v>10500</v>
      </c>
    </row>
    <row r="9" spans="1:12" x14ac:dyDescent="0.2">
      <c r="A9" t="s">
        <v>3389</v>
      </c>
      <c r="B9" s="1">
        <v>0</v>
      </c>
      <c r="F9" s="1">
        <f>F3+F4+F5+F6+F7</f>
        <v>0.77000000000000013</v>
      </c>
      <c r="G9" s="617">
        <v>25000</v>
      </c>
      <c r="H9" s="617">
        <f>G9*F9*B9</f>
        <v>0</v>
      </c>
    </row>
    <row r="11" spans="1:12" x14ac:dyDescent="0.2">
      <c r="G11" t="s">
        <v>1412</v>
      </c>
    </row>
    <row r="12" spans="1:12" x14ac:dyDescent="0.2">
      <c r="A12" t="s">
        <v>3399</v>
      </c>
      <c r="B12" s="1">
        <v>4</v>
      </c>
      <c r="F12" s="1" t="s">
        <v>1456</v>
      </c>
      <c r="G12" s="617">
        <v>13230</v>
      </c>
      <c r="H12" s="617">
        <f t="shared" ref="H12:H21" si="2">B12*G12</f>
        <v>52920</v>
      </c>
    </row>
    <row r="13" spans="1:12" x14ac:dyDescent="0.2">
      <c r="A13" t="s">
        <v>3400</v>
      </c>
      <c r="B13" s="1">
        <v>1</v>
      </c>
      <c r="G13" s="617">
        <v>17640</v>
      </c>
      <c r="H13" s="617">
        <f t="shared" si="2"/>
        <v>17640</v>
      </c>
    </row>
    <row r="14" spans="1:12" x14ac:dyDescent="0.2">
      <c r="A14" t="s">
        <v>3401</v>
      </c>
      <c r="B14" s="1">
        <v>4</v>
      </c>
      <c r="G14" s="617">
        <v>2460</v>
      </c>
      <c r="H14" s="617">
        <f t="shared" si="2"/>
        <v>9840</v>
      </c>
    </row>
    <row r="15" spans="1:12" x14ac:dyDescent="0.2">
      <c r="A15" t="s">
        <v>3403</v>
      </c>
      <c r="B15" s="1">
        <v>1</v>
      </c>
      <c r="G15" s="617">
        <v>3280</v>
      </c>
      <c r="H15" s="617">
        <f t="shared" si="2"/>
        <v>3280</v>
      </c>
    </row>
    <row r="16" spans="1:12" x14ac:dyDescent="0.2">
      <c r="A16" t="s">
        <v>3408</v>
      </c>
      <c r="B16" s="1">
        <v>1</v>
      </c>
      <c r="G16" s="617">
        <v>930</v>
      </c>
      <c r="H16" s="617">
        <f t="shared" si="2"/>
        <v>930</v>
      </c>
    </row>
    <row r="17" spans="1:8" x14ac:dyDescent="0.2">
      <c r="A17" t="s">
        <v>3402</v>
      </c>
      <c r="B17" s="1">
        <v>32</v>
      </c>
      <c r="G17" s="617">
        <v>177</v>
      </c>
      <c r="H17" s="617">
        <f t="shared" si="2"/>
        <v>5664</v>
      </c>
    </row>
    <row r="18" spans="1:8" x14ac:dyDescent="0.2">
      <c r="A18" t="s">
        <v>3404</v>
      </c>
      <c r="B18" s="1">
        <v>20</v>
      </c>
      <c r="G18" s="617">
        <v>506</v>
      </c>
      <c r="H18" s="617">
        <f t="shared" si="2"/>
        <v>10120</v>
      </c>
    </row>
    <row r="19" spans="1:8" x14ac:dyDescent="0.2">
      <c r="A19" t="s">
        <v>3405</v>
      </c>
      <c r="B19" s="1">
        <v>100</v>
      </c>
      <c r="G19" s="617">
        <v>80</v>
      </c>
      <c r="H19" s="617">
        <f t="shared" si="2"/>
        <v>8000</v>
      </c>
    </row>
    <row r="20" spans="1:8" x14ac:dyDescent="0.2">
      <c r="A20" t="s">
        <v>3406</v>
      </c>
      <c r="B20" s="1">
        <v>21</v>
      </c>
      <c r="G20" s="617">
        <v>400</v>
      </c>
      <c r="H20" s="617">
        <f t="shared" si="2"/>
        <v>8400</v>
      </c>
    </row>
    <row r="21" spans="1:8" x14ac:dyDescent="0.2">
      <c r="A21" t="s">
        <v>3407</v>
      </c>
      <c r="B21" s="1">
        <v>8</v>
      </c>
      <c r="G21" s="617">
        <v>400</v>
      </c>
      <c r="H21" s="617">
        <f t="shared" si="2"/>
        <v>3200</v>
      </c>
    </row>
    <row r="22" spans="1:8" x14ac:dyDescent="0.2">
      <c r="H22" s="984">
        <f>SUM(H3:H21)</f>
        <v>184394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L121"/>
  <sheetViews>
    <sheetView zoomScale="85" zoomScaleNormal="85" workbookViewId="0">
      <pane ySplit="1" topLeftCell="A11" activePane="bottomLeft" state="frozen"/>
      <selection pane="bottomLeft" activeCell="E24" sqref="E24"/>
    </sheetView>
  </sheetViews>
  <sheetFormatPr defaultRowHeight="12.75" outlineLevelRow="1" x14ac:dyDescent="0.2"/>
  <cols>
    <col min="1" max="1" width="49.28515625" style="12" bestFit="1" customWidth="1"/>
    <col min="2" max="2" width="13" style="12" customWidth="1"/>
    <col min="3" max="3" width="11" style="12" customWidth="1"/>
    <col min="4" max="4" width="13.85546875" style="12" customWidth="1"/>
    <col min="5" max="5" width="12.42578125" style="14" customWidth="1"/>
    <col min="6" max="6" width="15.140625" style="14" customWidth="1"/>
    <col min="7" max="7" width="16.5703125" style="14" bestFit="1" customWidth="1"/>
    <col min="8" max="8" width="16.5703125" style="14" customWidth="1"/>
    <col min="9" max="9" width="16.85546875" style="24" customWidth="1"/>
    <col min="10" max="10" width="15.140625" style="11" hidden="1" customWidth="1"/>
    <col min="11" max="11" width="15.140625" style="11" customWidth="1"/>
    <col min="12" max="12" width="13" style="12" customWidth="1"/>
    <col min="13" max="16384" width="9.140625" style="11"/>
  </cols>
  <sheetData>
    <row r="1" spans="1:12" x14ac:dyDescent="0.2">
      <c r="B1" s="23" t="s">
        <v>1145</v>
      </c>
      <c r="C1" s="4" t="s">
        <v>609</v>
      </c>
      <c r="D1" s="4" t="s">
        <v>723</v>
      </c>
      <c r="E1" s="4" t="s">
        <v>720</v>
      </c>
      <c r="F1" s="4" t="s">
        <v>199</v>
      </c>
      <c r="G1" s="4" t="s">
        <v>1382</v>
      </c>
      <c r="H1" s="20" t="s">
        <v>1391</v>
      </c>
      <c r="I1" s="20" t="s">
        <v>1392</v>
      </c>
      <c r="K1" s="11" t="s">
        <v>1383</v>
      </c>
      <c r="L1" s="202" t="s">
        <v>1529</v>
      </c>
    </row>
    <row r="2" spans="1:12" ht="13.5" thickBot="1" x14ac:dyDescent="0.25"/>
    <row r="3" spans="1:12" ht="16.5" thickBot="1" x14ac:dyDescent="0.25">
      <c r="A3" s="39">
        <f>Anyagköltség!G3+Munkadíj!I3</f>
        <v>23866827</v>
      </c>
      <c r="H3" s="21">
        <f>H5+H104+H82+H108+H99+H94</f>
        <v>5650380</v>
      </c>
      <c r="I3" s="21">
        <f>I5+I104+I82+I108+I99+I94</f>
        <v>4989560</v>
      </c>
      <c r="J3" s="24">
        <f>H3-I3</f>
        <v>660820</v>
      </c>
      <c r="K3" s="24">
        <f>SUM(K4:K110)</f>
        <v>994600</v>
      </c>
      <c r="L3" s="311">
        <f>SUM(L5:L107)</f>
        <v>2741360</v>
      </c>
    </row>
    <row r="4" spans="1:12" ht="13.5" thickBot="1" x14ac:dyDescent="0.25"/>
    <row r="5" spans="1:12" ht="13.5" thickBot="1" x14ac:dyDescent="0.25">
      <c r="A5" s="6" t="s">
        <v>719</v>
      </c>
      <c r="B5" s="99">
        <v>1</v>
      </c>
      <c r="C5" s="15"/>
      <c r="D5" s="332"/>
      <c r="E5" s="15"/>
      <c r="F5" s="15"/>
      <c r="G5" s="15"/>
      <c r="H5" s="15">
        <f>SUM(H8:H79)*B5</f>
        <v>3667880</v>
      </c>
      <c r="I5" s="15">
        <f>SUM(I8:I79)*B5</f>
        <v>3023460</v>
      </c>
      <c r="J5" s="272">
        <f>H5-I5</f>
        <v>644420</v>
      </c>
      <c r="K5" s="272"/>
      <c r="L5" s="312"/>
    </row>
    <row r="6" spans="1:12" ht="15" customHeight="1" outlineLevel="1" x14ac:dyDescent="0.2">
      <c r="A6" s="17"/>
      <c r="B6" s="17"/>
      <c r="C6" s="17"/>
      <c r="D6" s="17"/>
      <c r="E6" s="18"/>
      <c r="F6" s="18"/>
      <c r="G6" s="18"/>
      <c r="H6" s="18"/>
      <c r="J6" s="13"/>
      <c r="K6" s="13"/>
      <c r="L6" s="312"/>
    </row>
    <row r="7" spans="1:12" ht="15" customHeight="1" outlineLevel="1" x14ac:dyDescent="0.2">
      <c r="A7" s="68" t="s">
        <v>905</v>
      </c>
      <c r="B7" s="68"/>
      <c r="C7" s="17"/>
      <c r="D7" s="17"/>
      <c r="E7" s="18"/>
      <c r="F7" s="18"/>
      <c r="G7" s="18"/>
      <c r="H7" s="18"/>
      <c r="J7" s="13"/>
      <c r="K7" s="13"/>
      <c r="L7" s="312"/>
    </row>
    <row r="8" spans="1:12" s="363" customFormat="1" outlineLevel="1" x14ac:dyDescent="0.2">
      <c r="A8" s="360" t="s">
        <v>1884</v>
      </c>
      <c r="B8" s="360"/>
      <c r="C8" s="360" t="s">
        <v>642</v>
      </c>
      <c r="D8" s="360">
        <v>1</v>
      </c>
      <c r="E8" s="361">
        <v>120000</v>
      </c>
      <c r="F8" s="361">
        <v>120000</v>
      </c>
      <c r="G8" s="361"/>
      <c r="H8" s="361">
        <f>E8*D8</f>
        <v>120000</v>
      </c>
      <c r="I8" s="362">
        <f>D8*F8</f>
        <v>120000</v>
      </c>
      <c r="J8" s="362">
        <f>H8-I8</f>
        <v>0</v>
      </c>
      <c r="K8" s="362"/>
      <c r="L8" s="369">
        <f>I8</f>
        <v>120000</v>
      </c>
    </row>
    <row r="9" spans="1:12" s="363" customFormat="1" outlineLevel="1" x14ac:dyDescent="0.2">
      <c r="A9" s="360"/>
      <c r="B9" s="360"/>
      <c r="C9" s="360"/>
      <c r="D9" s="360"/>
      <c r="E9" s="361"/>
      <c r="F9" s="361"/>
      <c r="G9" s="361"/>
      <c r="H9" s="361"/>
      <c r="I9" s="362"/>
      <c r="J9" s="362"/>
      <c r="K9" s="362"/>
      <c r="L9" s="360"/>
    </row>
    <row r="10" spans="1:12" s="363" customFormat="1" outlineLevel="1" x14ac:dyDescent="0.2">
      <c r="A10" s="360" t="s">
        <v>1883</v>
      </c>
      <c r="B10" s="360"/>
      <c r="C10" s="360" t="s">
        <v>706</v>
      </c>
      <c r="D10" s="364">
        <v>1.55</v>
      </c>
      <c r="E10" s="361">
        <v>120000</v>
      </c>
      <c r="F10" s="361">
        <v>82000</v>
      </c>
      <c r="G10" s="361"/>
      <c r="H10" s="361">
        <f>D10*E10</f>
        <v>186000</v>
      </c>
      <c r="I10" s="362">
        <f>D10*F10</f>
        <v>127100</v>
      </c>
      <c r="J10" s="362">
        <f>H10-I10</f>
        <v>58900</v>
      </c>
      <c r="K10" s="362"/>
      <c r="L10" s="369">
        <f>I10</f>
        <v>127100</v>
      </c>
    </row>
    <row r="11" spans="1:12" s="363" customFormat="1" outlineLevel="1" x14ac:dyDescent="0.2">
      <c r="A11" s="360" t="s">
        <v>1715</v>
      </c>
      <c r="B11" s="360"/>
      <c r="C11" s="360" t="s">
        <v>623</v>
      </c>
      <c r="D11" s="360">
        <v>50</v>
      </c>
      <c r="E11" s="361">
        <v>2000</v>
      </c>
      <c r="F11" s="361">
        <v>1900</v>
      </c>
      <c r="G11" s="361"/>
      <c r="H11" s="361">
        <f>E11*D11</f>
        <v>100000</v>
      </c>
      <c r="I11" s="362">
        <f>D11*F11</f>
        <v>95000</v>
      </c>
      <c r="J11" s="362">
        <f>H11-I11</f>
        <v>5000</v>
      </c>
      <c r="K11" s="362"/>
      <c r="L11" s="369">
        <f>I11</f>
        <v>95000</v>
      </c>
    </row>
    <row r="12" spans="1:12" s="363" customFormat="1" outlineLevel="1" x14ac:dyDescent="0.2">
      <c r="A12" s="360"/>
      <c r="B12" s="360"/>
      <c r="C12" s="360"/>
      <c r="D12" s="360"/>
      <c r="E12" s="361"/>
      <c r="F12" s="361"/>
      <c r="G12" s="361"/>
      <c r="H12" s="361"/>
      <c r="I12" s="360"/>
      <c r="J12" s="360"/>
      <c r="K12" s="360"/>
      <c r="L12" s="360"/>
    </row>
    <row r="13" spans="1:12" s="363" customFormat="1" outlineLevel="1" x14ac:dyDescent="0.2">
      <c r="A13" s="360" t="s">
        <v>1409</v>
      </c>
      <c r="B13" s="360"/>
      <c r="C13" s="360" t="s">
        <v>611</v>
      </c>
      <c r="D13" s="360">
        <v>20</v>
      </c>
      <c r="E13" s="361">
        <v>5000</v>
      </c>
      <c r="F13" s="361">
        <v>2200</v>
      </c>
      <c r="G13" s="361"/>
      <c r="H13" s="361">
        <f>E13*D13</f>
        <v>100000</v>
      </c>
      <c r="I13" s="362">
        <f>D13*F13</f>
        <v>44000</v>
      </c>
      <c r="J13" s="362">
        <f>H13-I13</f>
        <v>56000</v>
      </c>
      <c r="K13" s="362"/>
      <c r="L13" s="369">
        <f>I13</f>
        <v>44000</v>
      </c>
    </row>
    <row r="14" spans="1:12" s="363" customFormat="1" outlineLevel="1" x14ac:dyDescent="0.2">
      <c r="A14" s="360"/>
      <c r="B14" s="360"/>
      <c r="C14" s="360"/>
      <c r="D14" s="360"/>
      <c r="E14" s="361"/>
      <c r="F14" s="361"/>
      <c r="G14" s="361"/>
      <c r="H14" s="361"/>
      <c r="I14" s="360"/>
      <c r="J14" s="360"/>
      <c r="K14" s="360"/>
      <c r="L14" s="360"/>
    </row>
    <row r="15" spans="1:12" s="363" customFormat="1" outlineLevel="1" x14ac:dyDescent="0.2">
      <c r="A15" s="360" t="s">
        <v>1331</v>
      </c>
      <c r="B15" s="360"/>
      <c r="C15" s="360" t="s">
        <v>623</v>
      </c>
      <c r="D15" s="360">
        <v>12</v>
      </c>
      <c r="E15" s="361">
        <v>2500</v>
      </c>
      <c r="F15" s="361">
        <v>1200</v>
      </c>
      <c r="G15" s="361"/>
      <c r="H15" s="361">
        <f>E15*D15</f>
        <v>30000</v>
      </c>
      <c r="I15" s="362">
        <f>D15*F15</f>
        <v>14400</v>
      </c>
      <c r="J15" s="362">
        <f>H15-I15</f>
        <v>15600</v>
      </c>
      <c r="K15" s="362"/>
      <c r="L15" s="369">
        <f>I15</f>
        <v>14400</v>
      </c>
    </row>
    <row r="16" spans="1:12" s="363" customFormat="1" outlineLevel="1" x14ac:dyDescent="0.2">
      <c r="A16" s="360" t="s">
        <v>1042</v>
      </c>
      <c r="B16" s="360"/>
      <c r="C16" s="360" t="s">
        <v>623</v>
      </c>
      <c r="D16" s="360">
        <v>17</v>
      </c>
      <c r="E16" s="361">
        <v>2500</v>
      </c>
      <c r="F16" s="361">
        <v>1200</v>
      </c>
      <c r="G16" s="361"/>
      <c r="H16" s="361">
        <f>E16*D16</f>
        <v>42500</v>
      </c>
      <c r="I16" s="362">
        <f>D16*F16</f>
        <v>20400</v>
      </c>
      <c r="J16" s="362">
        <f>H16-I16</f>
        <v>22100</v>
      </c>
      <c r="K16" s="362"/>
      <c r="L16" s="369">
        <f>I16</f>
        <v>20400</v>
      </c>
    </row>
    <row r="17" spans="1:12" s="363" customFormat="1" outlineLevel="1" x14ac:dyDescent="0.2">
      <c r="A17" s="360"/>
      <c r="B17" s="360"/>
      <c r="C17" s="360"/>
      <c r="D17" s="360"/>
      <c r="E17" s="361"/>
      <c r="F17" s="361"/>
      <c r="G17" s="361"/>
      <c r="H17" s="361"/>
      <c r="I17" s="362"/>
      <c r="J17" s="362"/>
      <c r="K17" s="362"/>
      <c r="L17" s="360"/>
    </row>
    <row r="18" spans="1:12" s="363" customFormat="1" outlineLevel="1" x14ac:dyDescent="0.2">
      <c r="A18" s="360" t="s">
        <v>1886</v>
      </c>
      <c r="B18" s="360"/>
      <c r="C18" s="360" t="s">
        <v>642</v>
      </c>
      <c r="D18" s="360">
        <v>1</v>
      </c>
      <c r="E18" s="361">
        <v>28000</v>
      </c>
      <c r="F18" s="361">
        <v>28000</v>
      </c>
      <c r="G18" s="361"/>
      <c r="H18" s="361">
        <f>E18*D18</f>
        <v>28000</v>
      </c>
      <c r="I18" s="362">
        <f>D18*F18</f>
        <v>28000</v>
      </c>
      <c r="J18" s="362">
        <f>H18-I18</f>
        <v>0</v>
      </c>
      <c r="K18" s="362"/>
      <c r="L18" s="369">
        <f>I18</f>
        <v>28000</v>
      </c>
    </row>
    <row r="19" spans="1:12" s="363" customFormat="1" outlineLevel="1" x14ac:dyDescent="0.2">
      <c r="A19" s="360" t="s">
        <v>1885</v>
      </c>
      <c r="B19" s="360"/>
      <c r="C19" s="360" t="s">
        <v>642</v>
      </c>
      <c r="D19" s="360">
        <v>1</v>
      </c>
      <c r="E19" s="361">
        <v>35000</v>
      </c>
      <c r="F19" s="361">
        <v>35000</v>
      </c>
      <c r="G19" s="361"/>
      <c r="H19" s="361">
        <f>E19*D19</f>
        <v>35000</v>
      </c>
      <c r="I19" s="362">
        <f>D19*F19</f>
        <v>35000</v>
      </c>
      <c r="J19" s="362">
        <f>H19-I19</f>
        <v>0</v>
      </c>
      <c r="K19" s="362"/>
      <c r="L19" s="369">
        <f>I19</f>
        <v>35000</v>
      </c>
    </row>
    <row r="20" spans="1:12" s="363" customFormat="1" outlineLevel="1" x14ac:dyDescent="0.2">
      <c r="A20" s="365"/>
      <c r="B20" s="360"/>
      <c r="C20" s="360"/>
      <c r="D20" s="360"/>
      <c r="E20" s="361"/>
      <c r="F20" s="361"/>
      <c r="G20" s="361"/>
      <c r="H20" s="361"/>
      <c r="I20" s="360"/>
      <c r="J20" s="360"/>
      <c r="K20" s="360"/>
      <c r="L20" s="360"/>
    </row>
    <row r="21" spans="1:12" s="363" customFormat="1" outlineLevel="1" x14ac:dyDescent="0.2">
      <c r="A21" s="360" t="s">
        <v>1716</v>
      </c>
      <c r="B21" s="360"/>
      <c r="C21" s="360" t="s">
        <v>618</v>
      </c>
      <c r="D21" s="360">
        <v>55</v>
      </c>
      <c r="E21" s="361">
        <v>1000</v>
      </c>
      <c r="F21" s="361">
        <v>366</v>
      </c>
      <c r="G21" s="361"/>
      <c r="H21" s="361">
        <f>E21*D21</f>
        <v>55000</v>
      </c>
      <c r="I21" s="362">
        <f>D21*F21</f>
        <v>20130</v>
      </c>
      <c r="J21" s="362">
        <f>H21-I21</f>
        <v>34870</v>
      </c>
      <c r="K21" s="362"/>
      <c r="L21" s="369">
        <f>I21</f>
        <v>20130</v>
      </c>
    </row>
    <row r="22" spans="1:12" s="363" customFormat="1" outlineLevel="1" x14ac:dyDescent="0.2">
      <c r="A22" s="360"/>
      <c r="B22" s="360"/>
      <c r="C22" s="360"/>
      <c r="D22" s="360"/>
      <c r="E22" s="361"/>
      <c r="F22" s="361"/>
      <c r="G22" s="361"/>
      <c r="H22" s="361"/>
      <c r="I22" s="360"/>
      <c r="J22" s="360"/>
      <c r="K22" s="360"/>
      <c r="L22" s="360"/>
    </row>
    <row r="23" spans="1:12" s="363" customFormat="1" outlineLevel="1" x14ac:dyDescent="0.2">
      <c r="A23" s="360" t="s">
        <v>1149</v>
      </c>
      <c r="B23" s="360"/>
      <c r="C23" s="360" t="s">
        <v>611</v>
      </c>
      <c r="D23" s="360">
        <v>130</v>
      </c>
      <c r="E23" s="361">
        <v>1500</v>
      </c>
      <c r="F23" s="361">
        <v>700</v>
      </c>
      <c r="G23" s="361"/>
      <c r="H23" s="361">
        <f>E23*D23</f>
        <v>195000</v>
      </c>
      <c r="I23" s="362">
        <f>D23*F23</f>
        <v>91000</v>
      </c>
      <c r="J23" s="362">
        <f>H23-I23</f>
        <v>104000</v>
      </c>
      <c r="K23" s="362"/>
      <c r="L23" s="369">
        <f>I23</f>
        <v>91000</v>
      </c>
    </row>
    <row r="24" spans="1:12" s="363" customFormat="1" outlineLevel="1" x14ac:dyDescent="0.2">
      <c r="A24" s="360"/>
      <c r="B24" s="360"/>
      <c r="C24" s="360"/>
      <c r="D24" s="360"/>
      <c r="E24" s="361"/>
      <c r="F24" s="361"/>
      <c r="G24" s="361"/>
      <c r="H24" s="361"/>
      <c r="I24" s="360"/>
      <c r="J24" s="360"/>
      <c r="K24" s="360"/>
      <c r="L24" s="360"/>
    </row>
    <row r="25" spans="1:12" s="363" customFormat="1" outlineLevel="1" x14ac:dyDescent="0.2">
      <c r="A25" s="360" t="s">
        <v>1586</v>
      </c>
      <c r="B25" s="360"/>
      <c r="C25" s="360" t="s">
        <v>611</v>
      </c>
      <c r="D25" s="360">
        <v>30</v>
      </c>
      <c r="E25" s="361">
        <v>500</v>
      </c>
      <c r="F25" s="361">
        <v>280</v>
      </c>
      <c r="G25" s="361"/>
      <c r="H25" s="361">
        <f>E25*D25</f>
        <v>15000</v>
      </c>
      <c r="I25" s="362">
        <f>D25*F25</f>
        <v>8400</v>
      </c>
      <c r="J25" s="362">
        <f>H25-I25</f>
        <v>6600</v>
      </c>
      <c r="K25" s="362"/>
      <c r="L25" s="369">
        <f>I25</f>
        <v>8400</v>
      </c>
    </row>
    <row r="26" spans="1:12" s="319" customFormat="1" outlineLevel="1" x14ac:dyDescent="0.2">
      <c r="A26" s="368"/>
      <c r="B26" s="368"/>
      <c r="C26" s="368"/>
      <c r="D26" s="368"/>
      <c r="E26" s="378"/>
      <c r="F26" s="378"/>
      <c r="G26" s="378"/>
      <c r="H26" s="378"/>
      <c r="I26" s="368"/>
      <c r="J26" s="368"/>
      <c r="K26" s="368"/>
      <c r="L26" s="368"/>
    </row>
    <row r="27" spans="1:12" s="319" customFormat="1" outlineLevel="1" x14ac:dyDescent="0.2">
      <c r="A27" s="17" t="s">
        <v>1904</v>
      </c>
      <c r="B27" s="17"/>
      <c r="C27" s="17" t="s">
        <v>642</v>
      </c>
      <c r="D27" s="17">
        <v>1</v>
      </c>
      <c r="E27" s="18"/>
      <c r="F27" s="18">
        <v>200000</v>
      </c>
      <c r="G27" s="18"/>
      <c r="H27" s="18">
        <f>E27*D27</f>
        <v>0</v>
      </c>
      <c r="I27" s="309">
        <f>D27*F27</f>
        <v>200000</v>
      </c>
      <c r="J27" s="309">
        <f>H27-I27</f>
        <v>-200000</v>
      </c>
      <c r="K27" s="309"/>
      <c r="L27" s="379">
        <f>I27</f>
        <v>200000</v>
      </c>
    </row>
    <row r="28" spans="1:12" s="319" customFormat="1" outlineLevel="1" x14ac:dyDescent="0.2">
      <c r="A28" s="17" t="s">
        <v>55</v>
      </c>
      <c r="B28" s="17"/>
      <c r="C28" s="17" t="s">
        <v>611</v>
      </c>
      <c r="D28" s="17">
        <v>0</v>
      </c>
      <c r="E28" s="411">
        <v>400</v>
      </c>
      <c r="F28" s="18">
        <v>280</v>
      </c>
      <c r="G28" s="18">
        <v>800</v>
      </c>
      <c r="H28" s="411">
        <f>E28*D28</f>
        <v>0</v>
      </c>
      <c r="I28" s="309">
        <f>D28*F28</f>
        <v>0</v>
      </c>
      <c r="J28" s="309">
        <f>H28-I28</f>
        <v>0</v>
      </c>
      <c r="K28" s="309">
        <f>D28*G28</f>
        <v>0</v>
      </c>
      <c r="L28" s="379">
        <f>I28</f>
        <v>0</v>
      </c>
    </row>
    <row r="29" spans="1:12" s="319" customFormat="1" outlineLevel="1" x14ac:dyDescent="0.2">
      <c r="A29" s="17" t="s">
        <v>1151</v>
      </c>
      <c r="B29" s="17"/>
      <c r="C29" s="17" t="s">
        <v>611</v>
      </c>
      <c r="D29" s="17">
        <v>0</v>
      </c>
      <c r="E29" s="411">
        <v>500</v>
      </c>
      <c r="F29" s="18">
        <v>250</v>
      </c>
      <c r="G29" s="18"/>
      <c r="H29" s="411">
        <f>E29*D29</f>
        <v>0</v>
      </c>
      <c r="I29" s="309">
        <f>D29*F29</f>
        <v>0</v>
      </c>
      <c r="J29" s="309">
        <f>H29-I29</f>
        <v>0</v>
      </c>
      <c r="K29" s="309">
        <f>D29*G29</f>
        <v>0</v>
      </c>
      <c r="L29" s="379">
        <f>I29</f>
        <v>0</v>
      </c>
    </row>
    <row r="30" spans="1:12" s="319" customFormat="1" outlineLevel="1" x14ac:dyDescent="0.2">
      <c r="A30" s="413" t="s">
        <v>201</v>
      </c>
      <c r="B30" s="17"/>
      <c r="C30" s="17"/>
      <c r="D30" s="17"/>
      <c r="E30" s="18"/>
      <c r="F30" s="18"/>
      <c r="G30" s="18"/>
      <c r="H30" s="18"/>
      <c r="I30" s="309"/>
      <c r="J30" s="309"/>
      <c r="K30" s="309"/>
      <c r="L30" s="368"/>
    </row>
    <row r="31" spans="1:12" outlineLevel="1" x14ac:dyDescent="0.2">
      <c r="A31" s="17" t="s">
        <v>1587</v>
      </c>
      <c r="B31" s="17"/>
      <c r="C31" s="17" t="s">
        <v>611</v>
      </c>
      <c r="D31" s="17">
        <v>110</v>
      </c>
      <c r="E31" s="411">
        <v>400</v>
      </c>
      <c r="F31" s="18">
        <v>280</v>
      </c>
      <c r="G31" s="18">
        <v>800</v>
      </c>
      <c r="H31" s="411">
        <f>E31*D31</f>
        <v>44000</v>
      </c>
      <c r="I31" s="309">
        <f>D31*F31</f>
        <v>30800</v>
      </c>
      <c r="J31" s="24">
        <f>H31-I31</f>
        <v>13200</v>
      </c>
      <c r="K31" s="272">
        <f>D31*G31</f>
        <v>88000</v>
      </c>
    </row>
    <row r="32" spans="1:12" outlineLevel="1" x14ac:dyDescent="0.2">
      <c r="A32" s="17"/>
      <c r="B32" s="17"/>
      <c r="C32" s="17"/>
      <c r="D32" s="17"/>
      <c r="E32" s="18"/>
      <c r="F32" s="18"/>
      <c r="G32" s="18"/>
      <c r="H32" s="18"/>
      <c r="I32" s="309"/>
      <c r="J32" s="24"/>
      <c r="K32" s="24"/>
    </row>
    <row r="33" spans="1:12" s="53" customFormat="1" outlineLevel="1" x14ac:dyDescent="0.2">
      <c r="A33" s="51" t="s">
        <v>1040</v>
      </c>
      <c r="B33" s="51"/>
      <c r="C33" s="51" t="s">
        <v>611</v>
      </c>
      <c r="D33" s="51">
        <v>0</v>
      </c>
      <c r="E33" s="412">
        <v>300</v>
      </c>
      <c r="F33" s="52">
        <v>120</v>
      </c>
      <c r="G33" s="52"/>
      <c r="H33" s="412">
        <f>E33*D33</f>
        <v>0</v>
      </c>
      <c r="I33" s="309">
        <f>D33*F33</f>
        <v>0</v>
      </c>
      <c r="J33" s="24">
        <f>H33-I33</f>
        <v>0</v>
      </c>
      <c r="K33" s="309">
        <f>D33*G33</f>
        <v>0</v>
      </c>
      <c r="L33" s="314"/>
    </row>
    <row r="34" spans="1:12" s="50" customFormat="1" ht="13.5" outlineLevel="1" thickBot="1" x14ac:dyDescent="0.25">
      <c r="A34" s="48"/>
      <c r="B34" s="48"/>
      <c r="C34" s="48"/>
      <c r="D34" s="48"/>
      <c r="E34" s="49"/>
      <c r="F34" s="49"/>
      <c r="G34" s="49"/>
      <c r="H34" s="49"/>
      <c r="I34" s="335"/>
      <c r="J34" s="334"/>
      <c r="K34" s="334"/>
      <c r="L34" s="313"/>
    </row>
    <row r="35" spans="1:12" s="53" customFormat="1" outlineLevel="1" x14ac:dyDescent="0.2">
      <c r="A35" s="51"/>
      <c r="B35" s="51"/>
      <c r="C35" s="51"/>
      <c r="D35" s="51" t="s">
        <v>198</v>
      </c>
      <c r="E35" s="52"/>
      <c r="F35" s="52"/>
      <c r="G35" s="52"/>
      <c r="H35" s="52"/>
      <c r="I35" s="24"/>
      <c r="J35" s="24"/>
      <c r="K35" s="24"/>
      <c r="L35" s="314"/>
    </row>
    <row r="36" spans="1:12" outlineLevel="1" x14ac:dyDescent="0.2">
      <c r="A36" s="68" t="s">
        <v>904</v>
      </c>
      <c r="B36" s="68"/>
      <c r="C36" s="17"/>
      <c r="D36" s="17"/>
      <c r="E36" s="18"/>
      <c r="F36" s="18"/>
      <c r="G36" s="18"/>
      <c r="H36" s="18"/>
      <c r="J36" s="24"/>
      <c r="K36" s="24"/>
    </row>
    <row r="37" spans="1:12" s="363" customFormat="1" outlineLevel="1" x14ac:dyDescent="0.2">
      <c r="A37" s="360" t="s">
        <v>779</v>
      </c>
      <c r="B37" s="360"/>
      <c r="C37" s="360" t="s">
        <v>611</v>
      </c>
      <c r="D37" s="360">
        <v>156</v>
      </c>
      <c r="E37" s="361">
        <v>2000</v>
      </c>
      <c r="F37" s="361">
        <v>1650</v>
      </c>
      <c r="G37" s="361"/>
      <c r="H37" s="361">
        <f>E37*D37</f>
        <v>312000</v>
      </c>
      <c r="I37" s="362">
        <f>D37*F37</f>
        <v>257400</v>
      </c>
      <c r="J37" s="362">
        <f>H37-I37</f>
        <v>54600</v>
      </c>
      <c r="K37" s="362"/>
      <c r="L37" s="369">
        <f>I37</f>
        <v>257400</v>
      </c>
    </row>
    <row r="38" spans="1:12" s="363" customFormat="1" outlineLevel="1" x14ac:dyDescent="0.2">
      <c r="A38" s="360" t="s">
        <v>1932</v>
      </c>
      <c r="B38" s="360"/>
      <c r="C38" s="360" t="s">
        <v>642</v>
      </c>
      <c r="D38" s="360">
        <v>4</v>
      </c>
      <c r="E38" s="361"/>
      <c r="F38" s="361">
        <v>3000</v>
      </c>
      <c r="G38" s="361"/>
      <c r="H38" s="361">
        <f>E38*D38</f>
        <v>0</v>
      </c>
      <c r="I38" s="362">
        <f>D38*F38</f>
        <v>12000</v>
      </c>
      <c r="J38" s="362">
        <f>H38-I38</f>
        <v>-12000</v>
      </c>
      <c r="K38" s="362"/>
      <c r="L38" s="369">
        <f>I38</f>
        <v>12000</v>
      </c>
    </row>
    <row r="39" spans="1:12" s="319" customFormat="1" outlineLevel="1" x14ac:dyDescent="0.2">
      <c r="A39" s="368"/>
      <c r="B39" s="368"/>
      <c r="C39" s="368"/>
      <c r="D39" s="368"/>
      <c r="E39" s="378"/>
      <c r="F39" s="378"/>
      <c r="G39" s="378"/>
      <c r="H39" s="378"/>
      <c r="I39" s="309"/>
      <c r="J39" s="309"/>
      <c r="K39" s="309"/>
      <c r="L39" s="379"/>
    </row>
    <row r="40" spans="1:12" s="363" customFormat="1" outlineLevel="1" x14ac:dyDescent="0.2">
      <c r="A40" s="360" t="s">
        <v>1933</v>
      </c>
      <c r="B40" s="360"/>
      <c r="C40" s="360" t="s">
        <v>611</v>
      </c>
      <c r="D40" s="360">
        <v>12</v>
      </c>
      <c r="E40" s="361">
        <v>2000</v>
      </c>
      <c r="F40" s="361">
        <v>1650</v>
      </c>
      <c r="G40" s="361"/>
      <c r="H40" s="361">
        <f>E40*D40</f>
        <v>24000</v>
      </c>
      <c r="I40" s="362">
        <f>D40*F40</f>
        <v>19800</v>
      </c>
      <c r="J40" s="362">
        <f>H40-I40</f>
        <v>4200</v>
      </c>
      <c r="K40" s="362"/>
      <c r="L40" s="369">
        <f>I40</f>
        <v>19800</v>
      </c>
    </row>
    <row r="41" spans="1:12" s="363" customFormat="1" outlineLevel="1" x14ac:dyDescent="0.2">
      <c r="A41" s="360" t="s">
        <v>48</v>
      </c>
      <c r="B41" s="360"/>
      <c r="C41" s="360" t="s">
        <v>611</v>
      </c>
      <c r="D41" s="360">
        <v>4.8</v>
      </c>
      <c r="E41" s="361"/>
      <c r="F41" s="361">
        <v>3500</v>
      </c>
      <c r="G41" s="361"/>
      <c r="H41" s="361">
        <f>E41*D41</f>
        <v>0</v>
      </c>
      <c r="I41" s="362">
        <f>D41*F41</f>
        <v>16800</v>
      </c>
      <c r="J41" s="362">
        <f>H41-I41</f>
        <v>-16800</v>
      </c>
      <c r="K41" s="362"/>
      <c r="L41" s="369">
        <f>I41</f>
        <v>16800</v>
      </c>
    </row>
    <row r="42" spans="1:12" s="363" customFormat="1" outlineLevel="1" x14ac:dyDescent="0.2">
      <c r="A42" s="360" t="s">
        <v>50</v>
      </c>
      <c r="B42" s="360"/>
      <c r="C42" s="360"/>
      <c r="D42" s="360"/>
      <c r="E42" s="361"/>
      <c r="F42" s="361"/>
      <c r="G42" s="361"/>
      <c r="H42" s="361"/>
      <c r="I42" s="362"/>
      <c r="J42" s="362"/>
      <c r="K42" s="362"/>
      <c r="L42" s="369"/>
    </row>
    <row r="43" spans="1:12" s="363" customFormat="1" outlineLevel="1" x14ac:dyDescent="0.2">
      <c r="A43" s="360"/>
      <c r="B43" s="360"/>
      <c r="C43" s="360"/>
      <c r="D43" s="360"/>
      <c r="E43" s="361"/>
      <c r="F43" s="361"/>
      <c r="G43" s="361"/>
      <c r="H43" s="361"/>
      <c r="I43" s="362"/>
      <c r="J43" s="362"/>
      <c r="K43" s="362"/>
      <c r="L43" s="369"/>
    </row>
    <row r="44" spans="1:12" s="363" customFormat="1" outlineLevel="1" x14ac:dyDescent="0.2">
      <c r="A44" s="360" t="s">
        <v>47</v>
      </c>
      <c r="B44" s="360"/>
      <c r="C44" s="360" t="s">
        <v>611</v>
      </c>
      <c r="D44" s="360">
        <v>5</v>
      </c>
      <c r="E44" s="361"/>
      <c r="F44" s="361">
        <v>1800</v>
      </c>
      <c r="G44" s="361"/>
      <c r="H44" s="361">
        <f>E44*D44</f>
        <v>0</v>
      </c>
      <c r="I44" s="362">
        <f>D44*F44</f>
        <v>9000</v>
      </c>
      <c r="J44" s="362">
        <f>H44-I44</f>
        <v>-9000</v>
      </c>
      <c r="K44" s="362"/>
      <c r="L44" s="369">
        <v>9000</v>
      </c>
    </row>
    <row r="45" spans="1:12" s="363" customFormat="1" outlineLevel="1" x14ac:dyDescent="0.2">
      <c r="A45" s="360" t="s">
        <v>49</v>
      </c>
      <c r="B45" s="360"/>
      <c r="C45" s="360"/>
      <c r="D45" s="360"/>
      <c r="E45" s="361"/>
      <c r="F45" s="361"/>
      <c r="G45" s="361"/>
      <c r="H45" s="361"/>
      <c r="I45" s="362"/>
      <c r="J45" s="362"/>
      <c r="K45" s="362"/>
      <c r="L45" s="369"/>
    </row>
    <row r="46" spans="1:12" s="319" customFormat="1" outlineLevel="1" x14ac:dyDescent="0.2">
      <c r="A46" s="368"/>
      <c r="B46" s="368"/>
      <c r="C46" s="368"/>
      <c r="D46" s="368"/>
      <c r="E46" s="378"/>
      <c r="F46" s="378"/>
      <c r="G46" s="378"/>
      <c r="H46" s="378"/>
      <c r="I46" s="309"/>
      <c r="J46" s="309"/>
      <c r="K46" s="309"/>
      <c r="L46" s="379"/>
    </row>
    <row r="47" spans="1:12" s="319" customFormat="1" outlineLevel="1" x14ac:dyDescent="0.2">
      <c r="A47" s="17" t="s">
        <v>780</v>
      </c>
      <c r="B47" s="17"/>
      <c r="C47" s="17" t="s">
        <v>611</v>
      </c>
      <c r="D47" s="17">
        <v>92</v>
      </c>
      <c r="E47" s="411">
        <v>1500</v>
      </c>
      <c r="F47" s="18">
        <v>1300</v>
      </c>
      <c r="G47" s="18">
        <v>1800</v>
      </c>
      <c r="H47" s="411">
        <f>E47*D47</f>
        <v>138000</v>
      </c>
      <c r="I47" s="309">
        <f>D47*F47</f>
        <v>119600</v>
      </c>
      <c r="J47" s="309">
        <f>H47-I47</f>
        <v>18400</v>
      </c>
      <c r="K47" s="272">
        <f>D47*G47</f>
        <v>165600</v>
      </c>
      <c r="L47" s="379">
        <f>I47</f>
        <v>119600</v>
      </c>
    </row>
    <row r="48" spans="1:12" s="319" customFormat="1" outlineLevel="1" x14ac:dyDescent="0.2">
      <c r="A48" s="368"/>
      <c r="B48" s="368"/>
      <c r="C48" s="368"/>
      <c r="D48" s="368"/>
      <c r="E48" s="378"/>
      <c r="F48" s="378"/>
      <c r="G48" s="378"/>
      <c r="H48" s="378"/>
      <c r="I48" s="309"/>
      <c r="J48" s="309"/>
      <c r="K48" s="309"/>
      <c r="L48" s="379"/>
    </row>
    <row r="49" spans="1:12" s="53" customFormat="1" outlineLevel="1" x14ac:dyDescent="0.2">
      <c r="A49" s="51" t="s">
        <v>900</v>
      </c>
      <c r="B49" s="51"/>
      <c r="C49" s="51" t="s">
        <v>611</v>
      </c>
      <c r="D49" s="51">
        <v>400</v>
      </c>
      <c r="E49" s="412">
        <v>1350</v>
      </c>
      <c r="F49" s="52">
        <v>1350</v>
      </c>
      <c r="G49" s="52">
        <v>1550</v>
      </c>
      <c r="H49" s="412">
        <f>E49*D49</f>
        <v>540000</v>
      </c>
      <c r="I49" s="24">
        <f>D49*F49</f>
        <v>540000</v>
      </c>
      <c r="J49" s="24">
        <f>H49-I49</f>
        <v>0</v>
      </c>
      <c r="K49" s="272">
        <f>D49*G49</f>
        <v>620000</v>
      </c>
      <c r="L49" s="314"/>
    </row>
    <row r="50" spans="1:12" s="53" customFormat="1" outlineLevel="1" x14ac:dyDescent="0.2">
      <c r="A50" s="51" t="s">
        <v>32</v>
      </c>
      <c r="B50" s="51"/>
      <c r="C50" s="51"/>
      <c r="D50" s="51"/>
      <c r="E50" s="52"/>
      <c r="F50" s="52"/>
      <c r="G50" s="52"/>
      <c r="H50" s="52"/>
      <c r="I50" s="24"/>
      <c r="J50" s="24"/>
      <c r="K50" s="24"/>
      <c r="L50" s="314"/>
    </row>
    <row r="51" spans="1:12" s="53" customFormat="1" outlineLevel="1" x14ac:dyDescent="0.2">
      <c r="A51" s="225" t="s">
        <v>1920</v>
      </c>
      <c r="B51" s="51"/>
      <c r="C51" s="51"/>
      <c r="D51" s="51"/>
      <c r="E51" s="52"/>
      <c r="F51" s="52"/>
      <c r="G51" s="52"/>
      <c r="H51" s="52"/>
      <c r="I51" s="24"/>
      <c r="J51" s="24"/>
      <c r="K51" s="24"/>
      <c r="L51" s="314"/>
    </row>
    <row r="52" spans="1:12" outlineLevel="1" x14ac:dyDescent="0.2">
      <c r="A52" s="67" t="s">
        <v>1076</v>
      </c>
      <c r="B52" s="67"/>
      <c r="C52" s="17" t="s">
        <v>611</v>
      </c>
      <c r="D52" s="17">
        <v>160</v>
      </c>
      <c r="E52" s="411">
        <v>2500</v>
      </c>
      <c r="F52" s="18">
        <v>1950</v>
      </c>
      <c r="G52" s="18"/>
      <c r="H52" s="411">
        <f>E52*D52</f>
        <v>400000</v>
      </c>
      <c r="I52" s="24">
        <f>D52*F52</f>
        <v>312000</v>
      </c>
      <c r="J52" s="24">
        <f>H52-I52</f>
        <v>88000</v>
      </c>
      <c r="K52" s="309">
        <f>D52*G52</f>
        <v>0</v>
      </c>
    </row>
    <row r="53" spans="1:12" s="53" customFormat="1" outlineLevel="1" x14ac:dyDescent="0.2">
      <c r="A53" s="333" t="s">
        <v>1075</v>
      </c>
      <c r="B53" s="333"/>
      <c r="C53" s="51" t="s">
        <v>611</v>
      </c>
      <c r="D53" s="51">
        <v>60</v>
      </c>
      <c r="E53" s="412">
        <v>2500</v>
      </c>
      <c r="F53" s="52">
        <v>1950</v>
      </c>
      <c r="G53" s="52"/>
      <c r="H53" s="412">
        <f>E53*D53</f>
        <v>150000</v>
      </c>
      <c r="I53" s="24">
        <f>D53*F53</f>
        <v>117000</v>
      </c>
      <c r="J53" s="24">
        <f>H53-I53</f>
        <v>33000</v>
      </c>
      <c r="K53" s="309">
        <f>D53*G53</f>
        <v>0</v>
      </c>
      <c r="L53" s="314"/>
    </row>
    <row r="54" spans="1:12" s="50" customFormat="1" ht="13.5" outlineLevel="1" thickBot="1" x14ac:dyDescent="0.25">
      <c r="A54" s="100"/>
      <c r="B54" s="100"/>
      <c r="C54" s="48"/>
      <c r="D54" s="48"/>
      <c r="E54" s="49"/>
      <c r="F54" s="49"/>
      <c r="G54" s="49"/>
      <c r="H54" s="49"/>
      <c r="I54" s="334"/>
      <c r="J54" s="334"/>
      <c r="K54" s="334"/>
      <c r="L54" s="313"/>
    </row>
    <row r="55" spans="1:12" s="53" customFormat="1" outlineLevel="1" x14ac:dyDescent="0.2">
      <c r="A55" s="51"/>
      <c r="B55" s="51"/>
      <c r="C55" s="51"/>
      <c r="D55" s="51"/>
      <c r="E55" s="52"/>
      <c r="F55" s="52"/>
      <c r="G55" s="52"/>
      <c r="H55" s="52"/>
      <c r="I55" s="24"/>
      <c r="J55" s="24"/>
      <c r="K55" s="24"/>
      <c r="L55" s="314"/>
    </row>
    <row r="56" spans="1:12" outlineLevel="1" x14ac:dyDescent="0.2">
      <c r="A56" s="68" t="s">
        <v>903</v>
      </c>
      <c r="B56" s="68"/>
      <c r="C56" s="17"/>
      <c r="D56" s="17"/>
      <c r="E56" s="18"/>
      <c r="F56" s="18"/>
      <c r="G56" s="18"/>
      <c r="H56" s="18"/>
      <c r="J56" s="24"/>
      <c r="K56" s="24"/>
    </row>
    <row r="57" spans="1:12" s="363" customFormat="1" outlineLevel="1" x14ac:dyDescent="0.2">
      <c r="A57" s="360" t="s">
        <v>109</v>
      </c>
      <c r="B57" s="360"/>
      <c r="C57" s="360" t="s">
        <v>706</v>
      </c>
      <c r="D57" s="364">
        <v>0.11</v>
      </c>
      <c r="E57" s="361">
        <v>120000</v>
      </c>
      <c r="F57" s="361">
        <v>82000</v>
      </c>
      <c r="G57" s="361"/>
      <c r="H57" s="361">
        <f>D57*E57</f>
        <v>13200</v>
      </c>
      <c r="I57" s="362">
        <f>D57*F57</f>
        <v>9020</v>
      </c>
      <c r="J57" s="362">
        <f>H57-I57</f>
        <v>4180</v>
      </c>
      <c r="K57" s="362"/>
      <c r="L57" s="369">
        <f>I57</f>
        <v>9020</v>
      </c>
    </row>
    <row r="58" spans="1:12" s="363" customFormat="1" outlineLevel="1" x14ac:dyDescent="0.2">
      <c r="A58" s="360" t="s">
        <v>1020</v>
      </c>
      <c r="B58" s="360"/>
      <c r="C58" s="360" t="s">
        <v>618</v>
      </c>
      <c r="D58" s="360">
        <v>12.2</v>
      </c>
      <c r="E58" s="361">
        <v>900</v>
      </c>
      <c r="F58" s="361">
        <v>1850</v>
      </c>
      <c r="G58" s="361"/>
      <c r="H58" s="361">
        <f>E58*D58</f>
        <v>10980</v>
      </c>
      <c r="I58" s="362">
        <f>D58*F58</f>
        <v>22570</v>
      </c>
      <c r="J58" s="362">
        <f>H58-I58</f>
        <v>-11590</v>
      </c>
      <c r="K58" s="362"/>
      <c r="L58" s="369">
        <f>I58</f>
        <v>22570</v>
      </c>
    </row>
    <row r="59" spans="1:12" s="363" customFormat="1" outlineLevel="1" x14ac:dyDescent="0.2">
      <c r="A59" s="360" t="s">
        <v>1021</v>
      </c>
      <c r="B59" s="360"/>
      <c r="C59" s="360" t="s">
        <v>618</v>
      </c>
      <c r="D59" s="360">
        <v>12.2</v>
      </c>
      <c r="E59" s="361">
        <v>3000</v>
      </c>
      <c r="F59" s="361">
        <v>1600</v>
      </c>
      <c r="G59" s="361"/>
      <c r="H59" s="361">
        <f>E59*D59</f>
        <v>36600</v>
      </c>
      <c r="I59" s="362">
        <f>D59*F59</f>
        <v>19520</v>
      </c>
      <c r="J59" s="362">
        <f>H59-I59</f>
        <v>17080</v>
      </c>
      <c r="K59" s="362"/>
      <c r="L59" s="369">
        <f>I59</f>
        <v>19520</v>
      </c>
    </row>
    <row r="60" spans="1:12" s="363" customFormat="1" outlineLevel="1" x14ac:dyDescent="0.2">
      <c r="A60" s="360" t="s">
        <v>1887</v>
      </c>
      <c r="B60" s="360"/>
      <c r="C60" s="360" t="s">
        <v>642</v>
      </c>
      <c r="D60" s="360">
        <v>32</v>
      </c>
      <c r="E60" s="361">
        <v>400</v>
      </c>
      <c r="F60" s="361">
        <v>350</v>
      </c>
      <c r="G60" s="361"/>
      <c r="H60" s="361">
        <f>E60*D60</f>
        <v>12800</v>
      </c>
      <c r="I60" s="362">
        <f>D60*F60</f>
        <v>11200</v>
      </c>
      <c r="J60" s="362">
        <f>H60-I60</f>
        <v>1600</v>
      </c>
      <c r="K60" s="362"/>
      <c r="L60" s="369">
        <f>I60</f>
        <v>11200</v>
      </c>
    </row>
    <row r="61" spans="1:12" outlineLevel="1" x14ac:dyDescent="0.2">
      <c r="A61" s="17"/>
      <c r="B61" s="17"/>
      <c r="C61" s="17"/>
      <c r="D61" s="17"/>
      <c r="E61" s="18"/>
      <c r="F61" s="18"/>
      <c r="G61" s="18"/>
      <c r="H61" s="18"/>
      <c r="I61" s="309"/>
      <c r="J61" s="24"/>
      <c r="K61" s="24"/>
    </row>
    <row r="62" spans="1:12" s="363" customFormat="1" outlineLevel="1" x14ac:dyDescent="0.2">
      <c r="A62" s="360" t="s">
        <v>107</v>
      </c>
      <c r="B62" s="360"/>
      <c r="C62" s="360" t="s">
        <v>706</v>
      </c>
      <c r="D62" s="364">
        <v>0.76</v>
      </c>
      <c r="E62" s="361">
        <v>120000</v>
      </c>
      <c r="F62" s="361">
        <v>82000</v>
      </c>
      <c r="G62" s="361"/>
      <c r="H62" s="361">
        <f>D62*E62</f>
        <v>91200</v>
      </c>
      <c r="I62" s="362">
        <f t="shared" ref="I62:I68" si="0">D62*F62</f>
        <v>62320</v>
      </c>
      <c r="J62" s="362">
        <f t="shared" ref="J62:J68" si="1">H62-I62</f>
        <v>28880</v>
      </c>
      <c r="K62" s="362"/>
      <c r="L62" s="369">
        <f t="shared" ref="L62:L68" si="2">I62</f>
        <v>62320</v>
      </c>
    </row>
    <row r="63" spans="1:12" s="363" customFormat="1" outlineLevel="1" x14ac:dyDescent="0.2">
      <c r="A63" s="360" t="s">
        <v>717</v>
      </c>
      <c r="B63" s="360"/>
      <c r="C63" s="360" t="s">
        <v>618</v>
      </c>
      <c r="D63" s="360">
        <v>43</v>
      </c>
      <c r="E63" s="361">
        <v>900</v>
      </c>
      <c r="F63" s="361">
        <v>1850</v>
      </c>
      <c r="G63" s="361"/>
      <c r="H63" s="361">
        <f>E63*D63</f>
        <v>38700</v>
      </c>
      <c r="I63" s="362">
        <f t="shared" si="0"/>
        <v>79550</v>
      </c>
      <c r="J63" s="362">
        <f t="shared" si="1"/>
        <v>-40850</v>
      </c>
      <c r="K63" s="362"/>
      <c r="L63" s="369">
        <f t="shared" si="2"/>
        <v>79550</v>
      </c>
    </row>
    <row r="64" spans="1:12" s="363" customFormat="1" outlineLevel="1" x14ac:dyDescent="0.2">
      <c r="A64" s="360" t="s">
        <v>106</v>
      </c>
      <c r="B64" s="360"/>
      <c r="C64" s="360" t="s">
        <v>618</v>
      </c>
      <c r="D64" s="360">
        <v>41</v>
      </c>
      <c r="E64" s="361">
        <v>900</v>
      </c>
      <c r="F64" s="361">
        <v>1200</v>
      </c>
      <c r="G64" s="361"/>
      <c r="H64" s="361">
        <f>E64*D64</f>
        <v>36900</v>
      </c>
      <c r="I64" s="362">
        <f t="shared" si="0"/>
        <v>49200</v>
      </c>
      <c r="J64" s="362">
        <f t="shared" si="1"/>
        <v>-12300</v>
      </c>
      <c r="K64" s="362"/>
      <c r="L64" s="369">
        <f t="shared" si="2"/>
        <v>49200</v>
      </c>
    </row>
    <row r="65" spans="1:12" s="385" customFormat="1" outlineLevel="1" x14ac:dyDescent="0.2">
      <c r="A65" s="384" t="s">
        <v>1152</v>
      </c>
      <c r="B65" s="384"/>
      <c r="C65" s="384" t="s">
        <v>618</v>
      </c>
      <c r="D65" s="384">
        <v>75</v>
      </c>
      <c r="E65" s="336">
        <v>1000</v>
      </c>
      <c r="F65" s="336">
        <v>560</v>
      </c>
      <c r="G65" s="336"/>
      <c r="H65" s="336">
        <f>E65*D65</f>
        <v>75000</v>
      </c>
      <c r="I65" s="198">
        <f t="shared" si="0"/>
        <v>42000</v>
      </c>
      <c r="J65" s="198">
        <f t="shared" si="1"/>
        <v>33000</v>
      </c>
      <c r="K65" s="198"/>
      <c r="L65" s="381">
        <f t="shared" si="2"/>
        <v>42000</v>
      </c>
    </row>
    <row r="66" spans="1:12" s="363" customFormat="1" outlineLevel="1" x14ac:dyDescent="0.2">
      <c r="A66" s="360" t="s">
        <v>1161</v>
      </c>
      <c r="B66" s="360"/>
      <c r="C66" s="360" t="s">
        <v>611</v>
      </c>
      <c r="D66" s="360">
        <v>110</v>
      </c>
      <c r="E66" s="361">
        <v>1000</v>
      </c>
      <c r="F66" s="361">
        <v>790</v>
      </c>
      <c r="G66" s="361"/>
      <c r="H66" s="361">
        <f>E66*D66</f>
        <v>110000</v>
      </c>
      <c r="I66" s="362">
        <f t="shared" si="0"/>
        <v>86900</v>
      </c>
      <c r="J66" s="362">
        <f t="shared" si="1"/>
        <v>23100</v>
      </c>
      <c r="K66" s="362"/>
      <c r="L66" s="369">
        <f t="shared" si="2"/>
        <v>86900</v>
      </c>
    </row>
    <row r="67" spans="1:12" s="382" customFormat="1" outlineLevel="1" x14ac:dyDescent="0.2">
      <c r="A67" s="380" t="s">
        <v>60</v>
      </c>
      <c r="B67" s="380"/>
      <c r="C67" s="380" t="s">
        <v>706</v>
      </c>
      <c r="D67" s="383">
        <v>0.5</v>
      </c>
      <c r="E67" s="95">
        <v>120000</v>
      </c>
      <c r="F67" s="95">
        <v>82000</v>
      </c>
      <c r="G67" s="95"/>
      <c r="H67" s="95">
        <f>D67*E67</f>
        <v>60000</v>
      </c>
      <c r="I67" s="198">
        <f t="shared" si="0"/>
        <v>41000</v>
      </c>
      <c r="J67" s="198">
        <f t="shared" si="1"/>
        <v>19000</v>
      </c>
      <c r="K67" s="198"/>
      <c r="L67" s="381">
        <f t="shared" si="2"/>
        <v>41000</v>
      </c>
    </row>
    <row r="68" spans="1:12" s="382" customFormat="1" outlineLevel="1" x14ac:dyDescent="0.2">
      <c r="A68" s="380" t="s">
        <v>1712</v>
      </c>
      <c r="B68" s="380"/>
      <c r="C68" s="380" t="s">
        <v>611</v>
      </c>
      <c r="D68" s="380">
        <v>110</v>
      </c>
      <c r="E68" s="95">
        <v>1500</v>
      </c>
      <c r="F68" s="95">
        <v>325</v>
      </c>
      <c r="G68" s="95"/>
      <c r="H68" s="95">
        <f>E68*D68</f>
        <v>165000</v>
      </c>
      <c r="I68" s="198">
        <f t="shared" si="0"/>
        <v>35750</v>
      </c>
      <c r="J68" s="198">
        <f t="shared" si="1"/>
        <v>129250</v>
      </c>
      <c r="K68" s="198"/>
      <c r="L68" s="381">
        <f t="shared" si="2"/>
        <v>35750</v>
      </c>
    </row>
    <row r="69" spans="1:12" outlineLevel="1" x14ac:dyDescent="0.2">
      <c r="A69" s="17"/>
      <c r="B69" s="17"/>
      <c r="C69" s="17"/>
      <c r="D69" s="17"/>
      <c r="E69" s="18"/>
      <c r="F69" s="18"/>
      <c r="G69" s="18"/>
      <c r="H69" s="18"/>
      <c r="I69" s="12"/>
      <c r="J69" s="12"/>
      <c r="K69" s="12"/>
    </row>
    <row r="70" spans="1:12" outlineLevel="1" x14ac:dyDescent="0.2">
      <c r="A70" s="17" t="s">
        <v>1714</v>
      </c>
      <c r="B70" s="17"/>
      <c r="C70" s="17" t="s">
        <v>611</v>
      </c>
      <c r="D70" s="17">
        <v>110</v>
      </c>
      <c r="E70" s="411">
        <v>1000</v>
      </c>
      <c r="F70" s="18">
        <v>850</v>
      </c>
      <c r="G70" s="18">
        <v>1100</v>
      </c>
      <c r="H70" s="411">
        <f>E70*D70</f>
        <v>110000</v>
      </c>
      <c r="I70" s="309">
        <f>D70*F70</f>
        <v>93500</v>
      </c>
      <c r="J70" s="24">
        <f>H70-I70</f>
        <v>16500</v>
      </c>
      <c r="K70" s="272">
        <f>D70*G70</f>
        <v>121000</v>
      </c>
    </row>
    <row r="71" spans="1:12" s="50" customFormat="1" ht="13.5" outlineLevel="1" thickBot="1" x14ac:dyDescent="0.25">
      <c r="A71" s="48"/>
      <c r="B71" s="48"/>
      <c r="C71" s="48"/>
      <c r="D71" s="48"/>
      <c r="E71" s="49"/>
      <c r="F71" s="49"/>
      <c r="G71" s="49"/>
      <c r="H71" s="49"/>
      <c r="I71" s="335"/>
      <c r="J71" s="334"/>
      <c r="K71" s="334"/>
      <c r="L71" s="313"/>
    </row>
    <row r="72" spans="1:12" outlineLevel="1" x14ac:dyDescent="0.2">
      <c r="A72" s="17"/>
      <c r="B72" s="17"/>
      <c r="C72" s="17"/>
      <c r="D72" s="17"/>
      <c r="E72" s="18"/>
      <c r="F72" s="18"/>
      <c r="G72" s="18"/>
      <c r="H72" s="18"/>
      <c r="I72" s="309"/>
      <c r="J72" s="24"/>
      <c r="K72" s="24"/>
    </row>
    <row r="73" spans="1:12" outlineLevel="1" x14ac:dyDescent="0.2">
      <c r="A73" s="68" t="s">
        <v>669</v>
      </c>
      <c r="B73" s="68"/>
      <c r="C73" s="17"/>
      <c r="D73" s="17"/>
      <c r="E73" s="18"/>
      <c r="F73" s="18"/>
      <c r="G73" s="18"/>
      <c r="H73" s="18"/>
      <c r="J73" s="24"/>
      <c r="K73" s="24"/>
    </row>
    <row r="74" spans="1:12" outlineLevel="1" x14ac:dyDescent="0.2">
      <c r="A74" s="17" t="s">
        <v>718</v>
      </c>
      <c r="B74" s="17"/>
      <c r="C74" s="17" t="s">
        <v>611</v>
      </c>
      <c r="D74" s="17">
        <v>130</v>
      </c>
      <c r="E74" s="411">
        <v>2500</v>
      </c>
      <c r="F74" s="18">
        <v>1450</v>
      </c>
      <c r="G74" s="18"/>
      <c r="H74" s="411">
        <f>E74*D74</f>
        <v>325000</v>
      </c>
      <c r="I74" s="24">
        <f>D74*F74</f>
        <v>188500</v>
      </c>
      <c r="J74" s="24">
        <f>H74-I74</f>
        <v>136500</v>
      </c>
      <c r="K74" s="309">
        <f>D74*G74</f>
        <v>0</v>
      </c>
      <c r="L74" s="311"/>
    </row>
    <row r="75" spans="1:12" outlineLevel="1" x14ac:dyDescent="0.2">
      <c r="A75" s="17" t="s">
        <v>708</v>
      </c>
      <c r="B75" s="17"/>
      <c r="C75" s="17" t="s">
        <v>618</v>
      </c>
      <c r="D75" s="17">
        <v>60</v>
      </c>
      <c r="E75" s="411">
        <v>700</v>
      </c>
      <c r="F75" s="18">
        <v>500</v>
      </c>
      <c r="G75" s="18"/>
      <c r="H75" s="411">
        <f>E75*D75</f>
        <v>42000</v>
      </c>
      <c r="I75" s="24">
        <f>D75*F75</f>
        <v>30000</v>
      </c>
      <c r="J75" s="24">
        <f>H75-I75</f>
        <v>12000</v>
      </c>
      <c r="K75" s="309">
        <f>D75*G75</f>
        <v>0</v>
      </c>
    </row>
    <row r="76" spans="1:12" outlineLevel="1" x14ac:dyDescent="0.2">
      <c r="A76" s="17"/>
      <c r="B76" s="17"/>
      <c r="C76" s="17"/>
      <c r="D76" s="17"/>
      <c r="E76" s="18"/>
      <c r="F76" s="18"/>
      <c r="G76" s="18"/>
      <c r="H76" s="18"/>
      <c r="J76" s="24"/>
      <c r="K76" s="24"/>
    </row>
    <row r="77" spans="1:12" outlineLevel="1" x14ac:dyDescent="0.2">
      <c r="A77" s="17" t="s">
        <v>1711</v>
      </c>
      <c r="B77" s="17"/>
      <c r="C77" s="17" t="s">
        <v>642</v>
      </c>
      <c r="D77" s="17">
        <v>1</v>
      </c>
      <c r="E77" s="411">
        <v>15000</v>
      </c>
      <c r="F77" s="18">
        <v>5500</v>
      </c>
      <c r="G77" s="18"/>
      <c r="H77" s="411">
        <f>E77*D77</f>
        <v>15000</v>
      </c>
      <c r="I77" s="24">
        <f>D77*F77</f>
        <v>5500</v>
      </c>
      <c r="J77" s="24">
        <f>H77-I77</f>
        <v>9500</v>
      </c>
      <c r="K77" s="309">
        <f>D77*G77</f>
        <v>0</v>
      </c>
    </row>
    <row r="78" spans="1:12" outlineLevel="1" x14ac:dyDescent="0.2">
      <c r="A78" s="17" t="s">
        <v>1710</v>
      </c>
      <c r="B78" s="17"/>
      <c r="C78" s="17" t="s">
        <v>642</v>
      </c>
      <c r="D78" s="17">
        <v>1</v>
      </c>
      <c r="E78" s="411">
        <v>5000</v>
      </c>
      <c r="F78" s="18">
        <v>5500</v>
      </c>
      <c r="G78" s="18"/>
      <c r="H78" s="411">
        <f>E78*D78</f>
        <v>5000</v>
      </c>
      <c r="I78" s="24">
        <f>D78*F78</f>
        <v>5500</v>
      </c>
      <c r="J78" s="24"/>
      <c r="K78" s="309">
        <f>D78*G78</f>
        <v>0</v>
      </c>
    </row>
    <row r="79" spans="1:12" s="53" customFormat="1" outlineLevel="1" x14ac:dyDescent="0.2">
      <c r="A79" s="51" t="s">
        <v>712</v>
      </c>
      <c r="B79" s="51"/>
      <c r="C79" s="51" t="s">
        <v>618</v>
      </c>
      <c r="D79" s="51">
        <v>20</v>
      </c>
      <c r="E79" s="412">
        <v>300</v>
      </c>
      <c r="F79" s="52">
        <v>180</v>
      </c>
      <c r="G79" s="52"/>
      <c r="H79" s="412">
        <f>E79*D79</f>
        <v>6000</v>
      </c>
      <c r="I79" s="24">
        <f>D79*F79</f>
        <v>3600</v>
      </c>
      <c r="J79" s="24">
        <f>H79-I79</f>
        <v>2400</v>
      </c>
      <c r="K79" s="309">
        <f>D79*G79</f>
        <v>0</v>
      </c>
      <c r="L79" s="314"/>
    </row>
    <row r="80" spans="1:12" s="50" customFormat="1" ht="13.5" outlineLevel="1" thickBot="1" x14ac:dyDescent="0.25">
      <c r="A80" s="48"/>
      <c r="B80" s="48"/>
      <c r="C80" s="48"/>
      <c r="D80" s="48"/>
      <c r="E80" s="49"/>
      <c r="F80" s="49"/>
      <c r="G80" s="49"/>
      <c r="H80" s="49"/>
      <c r="I80" s="334"/>
      <c r="J80" s="334"/>
      <c r="K80" s="334"/>
      <c r="L80" s="313"/>
    </row>
    <row r="81" spans="1:12" ht="13.5" thickBot="1" x14ac:dyDescent="0.25"/>
    <row r="82" spans="1:12" ht="13.5" thickBot="1" x14ac:dyDescent="0.25">
      <c r="A82" s="6" t="s">
        <v>662</v>
      </c>
      <c r="B82" s="99">
        <v>1</v>
      </c>
      <c r="C82" s="7"/>
      <c r="D82" s="8"/>
      <c r="E82" s="16"/>
      <c r="F82" s="16"/>
      <c r="G82" s="16"/>
      <c r="H82" s="15">
        <f>SUM(H83:H92)*B82</f>
        <v>1137500</v>
      </c>
      <c r="I82" s="15">
        <f>SUM(I83:I92)*B82</f>
        <v>1226100</v>
      </c>
      <c r="J82" s="272">
        <f t="shared" ref="J82:J87" si="3">H82-I82</f>
        <v>-88600</v>
      </c>
      <c r="K82" s="272"/>
    </row>
    <row r="83" spans="1:12" hidden="1" outlineLevel="1" x14ac:dyDescent="0.2">
      <c r="A83" s="17" t="s">
        <v>923</v>
      </c>
      <c r="B83" s="17"/>
      <c r="C83" s="17" t="s">
        <v>611</v>
      </c>
      <c r="D83" s="17">
        <v>220</v>
      </c>
      <c r="E83" s="18">
        <v>1965</v>
      </c>
      <c r="F83" s="90">
        <v>1965</v>
      </c>
      <c r="G83" s="90"/>
      <c r="H83" s="18">
        <f t="shared" ref="H83:H88" si="4">E83*D83</f>
        <v>432300</v>
      </c>
      <c r="I83" s="261">
        <f t="shared" ref="I83:I88" si="5">D83*F83</f>
        <v>432300</v>
      </c>
      <c r="J83" s="24">
        <f t="shared" si="3"/>
        <v>0</v>
      </c>
      <c r="K83" s="24"/>
      <c r="L83" s="369">
        <f>I83</f>
        <v>432300</v>
      </c>
    </row>
    <row r="84" spans="1:12" hidden="1" outlineLevel="1" x14ac:dyDescent="0.2">
      <c r="A84" s="17" t="s">
        <v>97</v>
      </c>
      <c r="B84" s="17"/>
      <c r="C84" s="17" t="s">
        <v>611</v>
      </c>
      <c r="D84" s="17">
        <v>220</v>
      </c>
      <c r="E84" s="18">
        <v>250</v>
      </c>
      <c r="F84" s="90">
        <v>250</v>
      </c>
      <c r="G84" s="90"/>
      <c r="H84" s="18">
        <f t="shared" si="4"/>
        <v>55000</v>
      </c>
      <c r="I84" s="261">
        <f t="shared" si="5"/>
        <v>55000</v>
      </c>
      <c r="J84" s="24">
        <f t="shared" si="3"/>
        <v>0</v>
      </c>
      <c r="K84" s="24"/>
      <c r="L84" s="369">
        <f>I84</f>
        <v>55000</v>
      </c>
    </row>
    <row r="85" spans="1:12" hidden="1" outlineLevel="1" x14ac:dyDescent="0.2">
      <c r="A85" s="17" t="s">
        <v>98</v>
      </c>
      <c r="B85" s="17"/>
      <c r="C85" s="17" t="s">
        <v>611</v>
      </c>
      <c r="D85" s="17">
        <v>220</v>
      </c>
      <c r="E85" s="18">
        <v>500</v>
      </c>
      <c r="F85" s="90">
        <v>500</v>
      </c>
      <c r="G85" s="90"/>
      <c r="H85" s="18">
        <f t="shared" si="4"/>
        <v>110000</v>
      </c>
      <c r="I85" s="261">
        <f t="shared" si="5"/>
        <v>110000</v>
      </c>
      <c r="J85" s="24">
        <f t="shared" si="3"/>
        <v>0</v>
      </c>
      <c r="K85" s="24"/>
      <c r="L85" s="369">
        <f>I85</f>
        <v>110000</v>
      </c>
    </row>
    <row r="86" spans="1:12" hidden="1" outlineLevel="1" x14ac:dyDescent="0.2">
      <c r="A86" s="17" t="s">
        <v>1467</v>
      </c>
      <c r="B86" s="17"/>
      <c r="C86" s="17" t="s">
        <v>611</v>
      </c>
      <c r="D86" s="17">
        <v>220</v>
      </c>
      <c r="E86" s="18">
        <v>1250</v>
      </c>
      <c r="F86" s="90">
        <v>1250</v>
      </c>
      <c r="G86" s="90"/>
      <c r="H86" s="18">
        <f t="shared" si="4"/>
        <v>275000</v>
      </c>
      <c r="I86" s="261">
        <f t="shared" si="5"/>
        <v>275000</v>
      </c>
      <c r="J86" s="24">
        <f t="shared" si="3"/>
        <v>0</v>
      </c>
      <c r="K86" s="24"/>
      <c r="L86" s="369">
        <f>I86</f>
        <v>275000</v>
      </c>
    </row>
    <row r="87" spans="1:12" hidden="1" outlineLevel="1" x14ac:dyDescent="0.2">
      <c r="A87" s="17" t="s">
        <v>200</v>
      </c>
      <c r="B87" s="17"/>
      <c r="C87" s="17" t="s">
        <v>611</v>
      </c>
      <c r="D87" s="17">
        <v>60</v>
      </c>
      <c r="E87" s="18">
        <v>2100</v>
      </c>
      <c r="F87" s="90">
        <v>2100</v>
      </c>
      <c r="G87" s="90"/>
      <c r="H87" s="18">
        <f t="shared" si="4"/>
        <v>126000</v>
      </c>
      <c r="I87" s="261">
        <f t="shared" si="5"/>
        <v>126000</v>
      </c>
      <c r="J87" s="24">
        <f t="shared" si="3"/>
        <v>0</v>
      </c>
      <c r="K87" s="24"/>
      <c r="L87" s="369">
        <f>I87</f>
        <v>126000</v>
      </c>
    </row>
    <row r="88" spans="1:12" hidden="1" outlineLevel="1" x14ac:dyDescent="0.2">
      <c r="A88" s="17" t="s">
        <v>924</v>
      </c>
      <c r="B88" s="17"/>
      <c r="C88" s="17" t="s">
        <v>611</v>
      </c>
      <c r="D88" s="17">
        <v>60</v>
      </c>
      <c r="E88" s="411">
        <v>1000</v>
      </c>
      <c r="F88" s="90">
        <v>2100</v>
      </c>
      <c r="G88" s="90"/>
      <c r="H88" s="411">
        <f t="shared" si="4"/>
        <v>60000</v>
      </c>
      <c r="I88" s="261">
        <f t="shared" si="5"/>
        <v>126000</v>
      </c>
    </row>
    <row r="89" spans="1:12" hidden="1" outlineLevel="1" x14ac:dyDescent="0.2">
      <c r="A89" s="17"/>
      <c r="B89" s="17"/>
      <c r="C89" s="17"/>
      <c r="D89" s="17"/>
      <c r="E89" s="18"/>
      <c r="F89" s="90"/>
      <c r="G89" s="90"/>
      <c r="H89" s="18"/>
      <c r="I89" s="261"/>
    </row>
    <row r="90" spans="1:12" hidden="1" outlineLevel="1" x14ac:dyDescent="0.2">
      <c r="A90" s="17" t="s">
        <v>99</v>
      </c>
      <c r="B90" s="17"/>
      <c r="C90" s="17" t="s">
        <v>677</v>
      </c>
      <c r="D90" s="17">
        <v>66</v>
      </c>
      <c r="E90" s="411">
        <v>1200</v>
      </c>
      <c r="F90" s="90">
        <v>1300</v>
      </c>
      <c r="G90" s="90"/>
      <c r="H90" s="411">
        <f>E90*D90</f>
        <v>79200</v>
      </c>
      <c r="I90" s="261">
        <f>D90*F90</f>
        <v>85800</v>
      </c>
      <c r="J90" s="24">
        <f>H90-I90</f>
        <v>-6600</v>
      </c>
      <c r="K90" s="24"/>
    </row>
    <row r="91" spans="1:12" hidden="1" outlineLevel="1" x14ac:dyDescent="0.2">
      <c r="A91" s="17" t="s">
        <v>100</v>
      </c>
      <c r="B91" s="17"/>
      <c r="C91" s="17" t="s">
        <v>677</v>
      </c>
      <c r="D91" s="17">
        <v>20</v>
      </c>
      <c r="E91" s="18">
        <v>0</v>
      </c>
      <c r="F91" s="90">
        <v>800</v>
      </c>
      <c r="G91" s="90"/>
      <c r="H91" s="18">
        <f>E91*D91</f>
        <v>0</v>
      </c>
      <c r="I91" s="261">
        <f>D91*F91</f>
        <v>16000</v>
      </c>
      <c r="J91" s="24">
        <f>H91-I91</f>
        <v>-16000</v>
      </c>
      <c r="K91" s="24"/>
      <c r="L91" s="369">
        <f>I91</f>
        <v>16000</v>
      </c>
    </row>
    <row r="92" spans="1:12" hidden="1" outlineLevel="1" x14ac:dyDescent="0.2">
      <c r="A92" s="17"/>
      <c r="B92" s="17"/>
      <c r="C92" s="17"/>
      <c r="D92" s="17"/>
      <c r="E92" s="18"/>
      <c r="F92" s="18"/>
      <c r="G92" s="18"/>
      <c r="H92" s="18"/>
      <c r="I92" s="18"/>
      <c r="L92" s="11"/>
    </row>
    <row r="93" spans="1:12" ht="13.5" collapsed="1" thickBot="1" x14ac:dyDescent="0.25">
      <c r="A93" s="11"/>
      <c r="C93" s="11"/>
      <c r="E93" s="11"/>
      <c r="F93" s="11"/>
      <c r="G93" s="11"/>
      <c r="H93" s="11"/>
    </row>
    <row r="94" spans="1:12" ht="13.5" thickBot="1" x14ac:dyDescent="0.25">
      <c r="A94" s="6" t="s">
        <v>673</v>
      </c>
      <c r="B94" s="8"/>
      <c r="C94" s="7"/>
      <c r="D94" s="8"/>
      <c r="E94" s="16"/>
      <c r="F94" s="16"/>
      <c r="G94" s="16"/>
      <c r="H94" s="15">
        <f>SUM(H95:H97)</f>
        <v>165000</v>
      </c>
      <c r="I94" s="15">
        <f>SUM(I95:I96)</f>
        <v>230000</v>
      </c>
      <c r="J94" s="272">
        <f>H94-I94</f>
        <v>-65000</v>
      </c>
      <c r="K94" s="272"/>
    </row>
    <row r="95" spans="1:12" s="363" customFormat="1" x14ac:dyDescent="0.2">
      <c r="A95" s="360" t="s">
        <v>1053</v>
      </c>
      <c r="B95" s="360"/>
      <c r="C95" s="360" t="s">
        <v>642</v>
      </c>
      <c r="D95" s="360">
        <v>1</v>
      </c>
      <c r="E95" s="361"/>
      <c r="F95" s="197">
        <v>30000</v>
      </c>
      <c r="G95" s="197"/>
      <c r="H95" s="361">
        <f>E95*D95</f>
        <v>0</v>
      </c>
      <c r="I95" s="362">
        <f>D95*F95</f>
        <v>30000</v>
      </c>
      <c r="J95" s="362">
        <f>H95-I95</f>
        <v>-30000</v>
      </c>
      <c r="K95" s="362"/>
      <c r="L95" s="369">
        <f>I95</f>
        <v>30000</v>
      </c>
    </row>
    <row r="96" spans="1:12" x14ac:dyDescent="0.2">
      <c r="A96" s="17" t="s">
        <v>1074</v>
      </c>
      <c r="B96" s="17"/>
      <c r="C96" s="17" t="s">
        <v>642</v>
      </c>
      <c r="D96" s="17">
        <v>1</v>
      </c>
      <c r="E96" s="411">
        <v>165000</v>
      </c>
      <c r="F96" s="197">
        <v>200000</v>
      </c>
      <c r="G96" s="197"/>
      <c r="H96" s="411">
        <f>E96*D96</f>
        <v>165000</v>
      </c>
      <c r="I96" s="18">
        <f>D96*F96</f>
        <v>200000</v>
      </c>
    </row>
    <row r="97" spans="1:12" s="53" customFormat="1" x14ac:dyDescent="0.2">
      <c r="A97" s="51"/>
      <c r="B97" s="51"/>
      <c r="C97" s="51"/>
      <c r="D97" s="51"/>
      <c r="E97" s="52"/>
      <c r="F97" s="52"/>
      <c r="G97" s="52"/>
      <c r="H97" s="52"/>
      <c r="I97" s="52"/>
      <c r="L97" s="314"/>
    </row>
    <row r="98" spans="1:12" ht="13.5" thickBot="1" x14ac:dyDescent="0.25"/>
    <row r="99" spans="1:12" ht="13.5" thickBot="1" x14ac:dyDescent="0.25">
      <c r="A99" s="6" t="s">
        <v>675</v>
      </c>
      <c r="B99" s="8"/>
      <c r="C99" s="7"/>
      <c r="D99" s="8"/>
      <c r="E99" s="16"/>
      <c r="F99" s="16"/>
      <c r="G99" s="16"/>
      <c r="H99" s="15">
        <f>SUM(H100:H102)</f>
        <v>400000</v>
      </c>
      <c r="I99" s="15">
        <f>SUM(I100:I102)</f>
        <v>230000</v>
      </c>
    </row>
    <row r="100" spans="1:12" x14ac:dyDescent="0.2">
      <c r="A100" s="17" t="s">
        <v>901</v>
      </c>
      <c r="B100" s="17"/>
      <c r="C100" s="17" t="s">
        <v>642</v>
      </c>
      <c r="D100" s="17">
        <v>1</v>
      </c>
      <c r="E100" s="411">
        <v>300000</v>
      </c>
      <c r="F100" s="197">
        <v>300000</v>
      </c>
      <c r="G100" s="197"/>
      <c r="H100" s="411">
        <f>E100*D100</f>
        <v>300000</v>
      </c>
      <c r="I100" s="261">
        <v>170000</v>
      </c>
    </row>
    <row r="101" spans="1:12" x14ac:dyDescent="0.2">
      <c r="A101" s="17" t="s">
        <v>865</v>
      </c>
      <c r="B101" s="17"/>
      <c r="C101" s="17" t="s">
        <v>642</v>
      </c>
      <c r="D101" s="17">
        <v>1</v>
      </c>
      <c r="E101" s="411">
        <v>100000</v>
      </c>
      <c r="F101" s="197">
        <v>100000</v>
      </c>
      <c r="G101" s="197"/>
      <c r="H101" s="411">
        <f>E101*D101</f>
        <v>100000</v>
      </c>
      <c r="I101" s="261">
        <v>60000</v>
      </c>
    </row>
    <row r="102" spans="1:12" s="53" customFormat="1" x14ac:dyDescent="0.2">
      <c r="A102" s="51"/>
      <c r="B102" s="51"/>
      <c r="C102" s="51"/>
      <c r="D102" s="51"/>
      <c r="E102" s="52"/>
      <c r="F102" s="52"/>
      <c r="G102" s="52"/>
      <c r="H102" s="52"/>
      <c r="I102" s="52"/>
      <c r="L102" s="314"/>
    </row>
    <row r="103" spans="1:12" ht="13.5" thickBot="1" x14ac:dyDescent="0.25"/>
    <row r="104" spans="1:12" ht="13.5" thickBot="1" x14ac:dyDescent="0.25">
      <c r="A104" s="6" t="s">
        <v>709</v>
      </c>
      <c r="B104" s="8"/>
      <c r="C104" s="7"/>
      <c r="D104" s="8"/>
      <c r="E104" s="16"/>
      <c r="F104" s="16"/>
      <c r="G104" s="16"/>
      <c r="H104" s="15">
        <f>SUM(H105:H106)</f>
        <v>280000</v>
      </c>
      <c r="I104" s="15">
        <f>SUM(I105:I106)</f>
        <v>280000</v>
      </c>
    </row>
    <row r="105" spans="1:12" x14ac:dyDescent="0.2">
      <c r="A105" s="17" t="s">
        <v>899</v>
      </c>
      <c r="B105" s="17"/>
      <c r="C105" s="17" t="s">
        <v>611</v>
      </c>
      <c r="D105" s="17">
        <v>350</v>
      </c>
      <c r="E105" s="411">
        <v>800</v>
      </c>
      <c r="F105" s="197">
        <v>800</v>
      </c>
      <c r="G105" s="197"/>
      <c r="H105" s="411">
        <f>E105*D105</f>
        <v>280000</v>
      </c>
      <c r="I105" s="18">
        <f>D105*F105</f>
        <v>280000</v>
      </c>
    </row>
    <row r="106" spans="1:12" s="53" customFormat="1" x14ac:dyDescent="0.2">
      <c r="A106" s="51"/>
      <c r="B106" s="51"/>
      <c r="C106" s="51"/>
      <c r="D106" s="51"/>
      <c r="E106" s="52"/>
      <c r="F106" s="52"/>
      <c r="G106" s="52"/>
      <c r="H106" s="52"/>
      <c r="I106" s="52"/>
      <c r="L106" s="314"/>
    </row>
    <row r="107" spans="1:12" ht="13.5" thickBot="1" x14ac:dyDescent="0.25"/>
    <row r="108" spans="1:12" ht="13.5" thickBot="1" x14ac:dyDescent="0.25">
      <c r="A108" s="6" t="s">
        <v>902</v>
      </c>
      <c r="B108" s="8"/>
      <c r="C108" s="7"/>
      <c r="D108" s="8"/>
      <c r="E108" s="16"/>
      <c r="F108" s="16"/>
      <c r="G108" s="16"/>
      <c r="H108" s="15">
        <f>SUM(H109:H110)</f>
        <v>0</v>
      </c>
      <c r="I108" s="15">
        <f>SUM(I109:I110)</f>
        <v>0</v>
      </c>
      <c r="J108" s="272">
        <f>H108-I108</f>
        <v>0</v>
      </c>
      <c r="K108" s="272"/>
    </row>
    <row r="109" spans="1:12" x14ac:dyDescent="0.2">
      <c r="A109" s="17" t="s">
        <v>570</v>
      </c>
      <c r="B109" s="17"/>
      <c r="C109" s="17" t="s">
        <v>611</v>
      </c>
      <c r="D109" s="17">
        <v>0</v>
      </c>
      <c r="E109" s="18">
        <v>2000</v>
      </c>
      <c r="F109" s="18">
        <v>1350</v>
      </c>
      <c r="G109" s="18"/>
      <c r="H109" s="18">
        <f>E109*D109</f>
        <v>0</v>
      </c>
      <c r="I109" s="18">
        <f>D109*F109</f>
        <v>0</v>
      </c>
      <c r="J109" s="24">
        <f>H109-I109</f>
        <v>0</v>
      </c>
      <c r="K109" s="24"/>
    </row>
    <row r="110" spans="1:12" s="53" customFormat="1" x14ac:dyDescent="0.2">
      <c r="A110" s="51"/>
      <c r="B110" s="51"/>
      <c r="C110" s="51"/>
      <c r="D110" s="51"/>
      <c r="E110" s="52"/>
      <c r="F110" s="52"/>
      <c r="G110" s="52"/>
      <c r="H110" s="52"/>
      <c r="I110" s="52"/>
      <c r="L110" s="314"/>
    </row>
    <row r="112" spans="1:12" x14ac:dyDescent="0.2">
      <c r="I112" s="472"/>
    </row>
    <row r="113" spans="1:8" x14ac:dyDescent="0.2">
      <c r="B113" s="14"/>
      <c r="H113" s="474"/>
    </row>
    <row r="114" spans="1:8" x14ac:dyDescent="0.2">
      <c r="B114" s="14"/>
      <c r="H114" s="474"/>
    </row>
    <row r="115" spans="1:8" x14ac:dyDescent="0.2">
      <c r="B115" s="14"/>
    </row>
    <row r="116" spans="1:8" x14ac:dyDescent="0.2">
      <c r="A116" s="11"/>
      <c r="B116" s="11"/>
    </row>
    <row r="117" spans="1:8" x14ac:dyDescent="0.2">
      <c r="A117" s="11"/>
      <c r="B117" s="11"/>
    </row>
    <row r="118" spans="1:8" x14ac:dyDescent="0.2">
      <c r="A118" s="11"/>
      <c r="B118" s="11"/>
    </row>
    <row r="119" spans="1:8" x14ac:dyDescent="0.2">
      <c r="A119" s="11"/>
      <c r="B119" s="11"/>
    </row>
    <row r="120" spans="1:8" x14ac:dyDescent="0.2">
      <c r="A120" s="11"/>
      <c r="B120" s="11"/>
    </row>
    <row r="121" spans="1:8" x14ac:dyDescent="0.2">
      <c r="A121" s="11"/>
      <c r="B121" s="11"/>
    </row>
  </sheetData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Munka30"/>
  <dimension ref="A2:L32"/>
  <sheetViews>
    <sheetView workbookViewId="0">
      <selection activeCell="D12" sqref="D12"/>
    </sheetView>
  </sheetViews>
  <sheetFormatPr defaultRowHeight="12.75" x14ac:dyDescent="0.2"/>
  <cols>
    <col min="1" max="1" width="33" customWidth="1"/>
    <col min="2" max="6" width="9.140625" style="1"/>
    <col min="7" max="8" width="14.140625" customWidth="1"/>
    <col min="9" max="12" width="4.140625" customWidth="1"/>
  </cols>
  <sheetData>
    <row r="2" spans="1:12" x14ac:dyDescent="0.2">
      <c r="B2" s="1" t="s">
        <v>642</v>
      </c>
      <c r="C2" s="1" t="s">
        <v>2001</v>
      </c>
      <c r="D2" s="1" t="s">
        <v>3368</v>
      </c>
      <c r="E2" s="1" t="s">
        <v>1024</v>
      </c>
      <c r="F2" s="1" t="s">
        <v>623</v>
      </c>
      <c r="G2" t="s">
        <v>3370</v>
      </c>
      <c r="H2" t="s">
        <v>1413</v>
      </c>
    </row>
    <row r="3" spans="1:12" x14ac:dyDescent="0.2">
      <c r="A3" s="588" t="s">
        <v>3369</v>
      </c>
      <c r="B3" s="1">
        <v>5</v>
      </c>
      <c r="C3" s="1">
        <v>10</v>
      </c>
      <c r="D3" s="1">
        <v>10</v>
      </c>
      <c r="E3" s="1">
        <v>200</v>
      </c>
      <c r="F3" s="1">
        <f t="shared" ref="F3:F9" si="0">B3*C3*D3*E3/1000000</f>
        <v>0.1</v>
      </c>
      <c r="G3" s="617">
        <v>70000</v>
      </c>
      <c r="H3" s="617">
        <f t="shared" ref="H3:H9" si="1">G3*F3</f>
        <v>7000</v>
      </c>
      <c r="I3" t="s">
        <v>737</v>
      </c>
      <c r="J3">
        <v>1</v>
      </c>
      <c r="K3" t="s">
        <v>3411</v>
      </c>
      <c r="L3">
        <v>1</v>
      </c>
    </row>
    <row r="4" spans="1:12" x14ac:dyDescent="0.2">
      <c r="A4" s="588" t="s">
        <v>3412</v>
      </c>
      <c r="B4" s="1">
        <v>2</v>
      </c>
      <c r="C4" s="1">
        <v>10</v>
      </c>
      <c r="D4" s="1">
        <v>10</v>
      </c>
      <c r="E4" s="1">
        <v>600</v>
      </c>
      <c r="F4" s="1">
        <f t="shared" si="0"/>
        <v>0.12</v>
      </c>
      <c r="G4" s="617">
        <v>70000</v>
      </c>
      <c r="H4" s="617">
        <f t="shared" si="1"/>
        <v>8400</v>
      </c>
      <c r="I4" t="s">
        <v>737</v>
      </c>
      <c r="J4">
        <v>2</v>
      </c>
    </row>
    <row r="5" spans="1:12" x14ac:dyDescent="0.2">
      <c r="A5" s="588" t="s">
        <v>3413</v>
      </c>
      <c r="B5" s="1">
        <v>2</v>
      </c>
      <c r="C5" s="1">
        <v>10</v>
      </c>
      <c r="D5" s="1">
        <v>10</v>
      </c>
      <c r="E5" s="1">
        <v>500</v>
      </c>
      <c r="F5" s="1">
        <f>B5*C5*D5*E5/1000000</f>
        <v>0.1</v>
      </c>
      <c r="G5" s="617">
        <v>70000</v>
      </c>
      <c r="H5" s="617">
        <f>G5*F5</f>
        <v>7000</v>
      </c>
      <c r="K5" t="s">
        <v>3410</v>
      </c>
      <c r="L5">
        <v>2</v>
      </c>
    </row>
    <row r="6" spans="1:12" x14ac:dyDescent="0.2">
      <c r="A6" s="588" t="s">
        <v>3371</v>
      </c>
      <c r="B6" s="1">
        <v>11</v>
      </c>
      <c r="C6" s="1">
        <v>5</v>
      </c>
      <c r="D6" s="1">
        <v>10</v>
      </c>
      <c r="E6" s="1">
        <v>400</v>
      </c>
      <c r="F6" s="1">
        <f t="shared" si="0"/>
        <v>0.22</v>
      </c>
      <c r="G6" s="617">
        <v>70000</v>
      </c>
      <c r="H6" s="617">
        <f t="shared" si="1"/>
        <v>15400</v>
      </c>
      <c r="I6" t="s">
        <v>3411</v>
      </c>
      <c r="J6">
        <v>11</v>
      </c>
    </row>
    <row r="7" spans="1:12" x14ac:dyDescent="0.2">
      <c r="A7" s="588" t="s">
        <v>3414</v>
      </c>
      <c r="B7" s="727">
        <v>12</v>
      </c>
      <c r="C7" s="1">
        <v>5</v>
      </c>
      <c r="D7" s="1">
        <v>10</v>
      </c>
      <c r="E7" s="1">
        <v>75</v>
      </c>
      <c r="F7" s="1">
        <f t="shared" si="0"/>
        <v>4.4999999999999998E-2</v>
      </c>
      <c r="G7" s="617">
        <v>70000</v>
      </c>
      <c r="H7" s="617">
        <f t="shared" si="1"/>
        <v>3150</v>
      </c>
      <c r="I7" t="s">
        <v>737</v>
      </c>
      <c r="J7">
        <v>1</v>
      </c>
      <c r="K7" t="s">
        <v>3415</v>
      </c>
      <c r="L7">
        <v>1</v>
      </c>
    </row>
    <row r="8" spans="1:12" x14ac:dyDescent="0.2">
      <c r="A8" s="588" t="s">
        <v>3378</v>
      </c>
      <c r="B8" s="1">
        <v>10</v>
      </c>
      <c r="C8" s="1">
        <v>10</v>
      </c>
      <c r="D8" s="1">
        <v>10</v>
      </c>
      <c r="E8" s="1">
        <v>100</v>
      </c>
      <c r="F8" s="1">
        <f t="shared" si="0"/>
        <v>0.1</v>
      </c>
      <c r="G8" s="617">
        <v>70000</v>
      </c>
      <c r="H8" s="617">
        <f t="shared" si="1"/>
        <v>7000</v>
      </c>
      <c r="I8" t="s">
        <v>3410</v>
      </c>
      <c r="J8">
        <v>2</v>
      </c>
    </row>
    <row r="9" spans="1:12" x14ac:dyDescent="0.2">
      <c r="A9" t="s">
        <v>3379</v>
      </c>
      <c r="B9" s="1">
        <v>5</v>
      </c>
      <c r="C9" s="1">
        <v>100</v>
      </c>
      <c r="D9" s="1">
        <v>100</v>
      </c>
      <c r="E9" s="1">
        <v>100</v>
      </c>
      <c r="F9" s="1">
        <f t="shared" si="0"/>
        <v>5</v>
      </c>
      <c r="G9" s="617">
        <v>1500</v>
      </c>
      <c r="H9" s="617">
        <f t="shared" si="1"/>
        <v>7500</v>
      </c>
    </row>
    <row r="10" spans="1:12" x14ac:dyDescent="0.2">
      <c r="A10" t="s">
        <v>3389</v>
      </c>
      <c r="B10" s="1">
        <v>0</v>
      </c>
      <c r="F10" s="1">
        <f>F3+F4+F6+F7+F8</f>
        <v>0.58499999999999996</v>
      </c>
      <c r="G10" s="617">
        <v>25000</v>
      </c>
      <c r="H10" s="617">
        <f>G10*F10*B10</f>
        <v>0</v>
      </c>
    </row>
    <row r="12" spans="1:12" x14ac:dyDescent="0.2">
      <c r="G12" t="s">
        <v>1412</v>
      </c>
    </row>
    <row r="13" spans="1:12" x14ac:dyDescent="0.2">
      <c r="A13" t="s">
        <v>3399</v>
      </c>
      <c r="B13" s="1">
        <v>25.2</v>
      </c>
      <c r="F13" s="1" t="s">
        <v>821</v>
      </c>
      <c r="G13" s="617">
        <v>2650</v>
      </c>
      <c r="H13" s="617">
        <f t="shared" ref="H13:H24" si="2">B13*G13</f>
        <v>66780</v>
      </c>
    </row>
    <row r="14" spans="1:12" x14ac:dyDescent="0.2">
      <c r="A14" t="s">
        <v>3400</v>
      </c>
      <c r="B14" s="1">
        <v>8.4</v>
      </c>
      <c r="G14" s="617">
        <v>2650</v>
      </c>
      <c r="H14" s="617">
        <f t="shared" si="2"/>
        <v>22260</v>
      </c>
    </row>
    <row r="15" spans="1:12" x14ac:dyDescent="0.2">
      <c r="A15" t="s">
        <v>3416</v>
      </c>
      <c r="B15" s="1">
        <v>9</v>
      </c>
      <c r="G15" s="617">
        <v>1041</v>
      </c>
      <c r="H15" s="617">
        <f t="shared" si="2"/>
        <v>9369</v>
      </c>
    </row>
    <row r="16" spans="1:12" x14ac:dyDescent="0.2">
      <c r="A16" t="s">
        <v>3417</v>
      </c>
      <c r="B16" s="1">
        <v>4</v>
      </c>
      <c r="G16" s="617">
        <v>1041</v>
      </c>
      <c r="H16" s="617">
        <f t="shared" si="2"/>
        <v>4164</v>
      </c>
    </row>
    <row r="17" spans="1:8" x14ac:dyDescent="0.2">
      <c r="A17" t="s">
        <v>3418</v>
      </c>
      <c r="B17" s="1">
        <v>9</v>
      </c>
      <c r="G17" s="617">
        <v>1184</v>
      </c>
      <c r="H17" s="617">
        <f t="shared" si="2"/>
        <v>10656</v>
      </c>
    </row>
    <row r="18" spans="1:8" x14ac:dyDescent="0.2">
      <c r="A18" t="s">
        <v>3419</v>
      </c>
      <c r="B18" s="1">
        <v>4</v>
      </c>
      <c r="G18" s="617">
        <v>1184</v>
      </c>
      <c r="H18" s="617">
        <f t="shared" si="2"/>
        <v>4736</v>
      </c>
    </row>
    <row r="19" spans="1:8" x14ac:dyDescent="0.2">
      <c r="A19" t="s">
        <v>3420</v>
      </c>
      <c r="B19" s="1">
        <v>21</v>
      </c>
      <c r="G19" s="617">
        <v>225</v>
      </c>
      <c r="H19" s="617">
        <f t="shared" si="2"/>
        <v>4725</v>
      </c>
    </row>
    <row r="20" spans="1:8" x14ac:dyDescent="0.2">
      <c r="A20" t="s">
        <v>3421</v>
      </c>
      <c r="B20" s="1">
        <v>4</v>
      </c>
      <c r="G20" s="617">
        <v>225</v>
      </c>
      <c r="H20" s="617">
        <f t="shared" si="2"/>
        <v>900</v>
      </c>
    </row>
    <row r="21" spans="1:8" x14ac:dyDescent="0.2">
      <c r="A21" t="s">
        <v>3404</v>
      </c>
      <c r="B21" s="1">
        <v>20</v>
      </c>
      <c r="G21" s="617">
        <v>644</v>
      </c>
      <c r="H21" s="617">
        <f t="shared" si="2"/>
        <v>12880</v>
      </c>
    </row>
    <row r="22" spans="1:8" x14ac:dyDescent="0.2">
      <c r="A22" t="s">
        <v>3405</v>
      </c>
      <c r="B22" s="1">
        <v>100</v>
      </c>
      <c r="G22" s="617">
        <v>80</v>
      </c>
      <c r="H22" s="617">
        <f t="shared" si="2"/>
        <v>8000</v>
      </c>
    </row>
    <row r="23" spans="1:8" x14ac:dyDescent="0.2">
      <c r="A23" t="s">
        <v>3406</v>
      </c>
      <c r="B23" s="1">
        <v>21</v>
      </c>
      <c r="G23" s="617">
        <v>508</v>
      </c>
      <c r="H23" s="617">
        <f t="shared" si="2"/>
        <v>10668</v>
      </c>
    </row>
    <row r="24" spans="1:8" x14ac:dyDescent="0.2">
      <c r="A24" t="s">
        <v>3407</v>
      </c>
      <c r="B24" s="1">
        <v>8</v>
      </c>
      <c r="G24" s="617">
        <v>508</v>
      </c>
      <c r="H24" s="617">
        <f t="shared" si="2"/>
        <v>4064</v>
      </c>
    </row>
    <row r="25" spans="1:8" x14ac:dyDescent="0.2">
      <c r="H25" s="984">
        <f>SUM(H3:H24)</f>
        <v>214652</v>
      </c>
    </row>
    <row r="29" spans="1:8" x14ac:dyDescent="0.2">
      <c r="B29" s="993">
        <v>6</v>
      </c>
      <c r="C29" s="993">
        <v>10</v>
      </c>
      <c r="D29" s="993">
        <v>10</v>
      </c>
      <c r="E29" s="993">
        <v>400</v>
      </c>
      <c r="F29" s="993">
        <f>B29*C29*D29*E29/1000000</f>
        <v>0.24</v>
      </c>
      <c r="G29" s="994">
        <v>68500</v>
      </c>
      <c r="H29" s="994">
        <f>G29*F29</f>
        <v>16440</v>
      </c>
    </row>
    <row r="30" spans="1:8" x14ac:dyDescent="0.2">
      <c r="B30" s="993">
        <v>4</v>
      </c>
      <c r="C30" s="993">
        <v>10</v>
      </c>
      <c r="D30" s="993">
        <v>10</v>
      </c>
      <c r="E30" s="993">
        <v>500</v>
      </c>
      <c r="F30" s="993">
        <f>B30*C30*D30*E30/1000000</f>
        <v>0.2</v>
      </c>
      <c r="G30" s="994">
        <v>68500</v>
      </c>
      <c r="H30" s="994">
        <f>G30*F30</f>
        <v>13700</v>
      </c>
    </row>
    <row r="31" spans="1:8" x14ac:dyDescent="0.2">
      <c r="B31" s="993">
        <v>4</v>
      </c>
      <c r="C31" s="993">
        <v>5</v>
      </c>
      <c r="D31" s="993">
        <v>10</v>
      </c>
      <c r="E31" s="993">
        <v>300</v>
      </c>
      <c r="F31" s="993">
        <f>B31*C31*D31*E31/1000000</f>
        <v>0.06</v>
      </c>
      <c r="G31" s="994">
        <v>68500</v>
      </c>
      <c r="H31" s="994">
        <f>G31*F31</f>
        <v>4110</v>
      </c>
    </row>
    <row r="32" spans="1:8" x14ac:dyDescent="0.2">
      <c r="B32" s="993">
        <v>12</v>
      </c>
      <c r="C32" s="993">
        <v>5</v>
      </c>
      <c r="D32" s="993">
        <v>10</v>
      </c>
      <c r="E32" s="993">
        <v>400</v>
      </c>
      <c r="F32" s="993">
        <f>B32*C32*D32*E32/1000000</f>
        <v>0.24</v>
      </c>
      <c r="G32" s="994">
        <v>68500</v>
      </c>
      <c r="H32" s="994">
        <f>G32*F32</f>
        <v>16440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Munka31"/>
  <dimension ref="A1:M43"/>
  <sheetViews>
    <sheetView workbookViewId="0">
      <selection activeCell="F14" sqref="F14"/>
    </sheetView>
  </sheetViews>
  <sheetFormatPr defaultRowHeight="12.75" x14ac:dyDescent="0.2"/>
  <cols>
    <col min="1" max="1" width="20.5703125" customWidth="1"/>
    <col min="2" max="2" width="18" customWidth="1"/>
    <col min="7" max="7" width="11.5703125" customWidth="1"/>
    <col min="8" max="8" width="17.7109375" customWidth="1"/>
    <col min="11" max="11" width="15.7109375" bestFit="1" customWidth="1"/>
  </cols>
  <sheetData>
    <row r="1" spans="1:13" x14ac:dyDescent="0.2">
      <c r="D1" t="s">
        <v>3374</v>
      </c>
      <c r="E1" t="s">
        <v>3339</v>
      </c>
      <c r="F1" t="s">
        <v>1413</v>
      </c>
      <c r="I1" t="s">
        <v>642</v>
      </c>
      <c r="J1" t="s">
        <v>611</v>
      </c>
      <c r="K1" t="s">
        <v>623</v>
      </c>
      <c r="M1" t="s">
        <v>3388</v>
      </c>
    </row>
    <row r="2" spans="1:13" x14ac:dyDescent="0.2">
      <c r="A2" t="s">
        <v>3375</v>
      </c>
      <c r="B2">
        <v>2.5</v>
      </c>
      <c r="C2">
        <v>10</v>
      </c>
      <c r="D2">
        <v>170</v>
      </c>
      <c r="E2">
        <f>H2*(0.1*0.025)</f>
        <v>171.25000000000003</v>
      </c>
      <c r="F2">
        <f>D2*E2</f>
        <v>29112.500000000004</v>
      </c>
      <c r="G2">
        <f>B2*C2*D2/10000</f>
        <v>0.42499999999999999</v>
      </c>
      <c r="H2">
        <v>68500</v>
      </c>
      <c r="I2">
        <v>78</v>
      </c>
      <c r="J2">
        <f>D2*0.125*2</f>
        <v>42.5</v>
      </c>
      <c r="K2">
        <f>D2*0.025*0.1</f>
        <v>0.42500000000000004</v>
      </c>
    </row>
    <row r="3" spans="1:13" x14ac:dyDescent="0.2">
      <c r="A3" t="s">
        <v>3381</v>
      </c>
      <c r="B3">
        <v>2.5</v>
      </c>
      <c r="C3">
        <v>15</v>
      </c>
      <c r="D3">
        <v>8.5</v>
      </c>
      <c r="E3">
        <f>H3*(0.15*0.025)</f>
        <v>256.875</v>
      </c>
      <c r="F3">
        <f>D3*E3</f>
        <v>2183.4375</v>
      </c>
      <c r="G3">
        <f>B3*C3*D3/10000</f>
        <v>3.1875000000000001E-2</v>
      </c>
      <c r="H3">
        <v>68500</v>
      </c>
      <c r="J3">
        <f>D3*0.175*2</f>
        <v>2.9749999999999996</v>
      </c>
      <c r="K3">
        <f>D3*0.025*0.1</f>
        <v>2.1250000000000005E-2</v>
      </c>
    </row>
    <row r="5" spans="1:13" x14ac:dyDescent="0.2">
      <c r="F5" s="975">
        <f>SUM(F2:F4)</f>
        <v>31295.937500000004</v>
      </c>
    </row>
    <row r="7" spans="1:13" x14ac:dyDescent="0.2">
      <c r="A7" t="s">
        <v>3387</v>
      </c>
      <c r="C7" t="s">
        <v>642</v>
      </c>
      <c r="D7" t="s">
        <v>1412</v>
      </c>
      <c r="E7" t="s">
        <v>1413</v>
      </c>
    </row>
    <row r="8" spans="1:13" x14ac:dyDescent="0.2">
      <c r="A8">
        <v>17</v>
      </c>
      <c r="B8" s="664" t="s">
        <v>3335</v>
      </c>
      <c r="C8" s="976">
        <f>A8*8</f>
        <v>136</v>
      </c>
      <c r="D8" s="976">
        <v>0</v>
      </c>
      <c r="E8" s="665">
        <f>C8*D8</f>
        <v>0</v>
      </c>
    </row>
    <row r="9" spans="1:13" x14ac:dyDescent="0.2">
      <c r="B9" s="666" t="s">
        <v>2937</v>
      </c>
      <c r="C9" s="47">
        <v>0</v>
      </c>
      <c r="D9" s="47"/>
      <c r="E9" s="667"/>
    </row>
    <row r="10" spans="1:13" x14ac:dyDescent="0.2">
      <c r="B10" s="985" t="s">
        <v>3382</v>
      </c>
      <c r="C10" s="986">
        <f>C8+C9</f>
        <v>136</v>
      </c>
      <c r="D10" s="986">
        <v>270</v>
      </c>
      <c r="E10" s="978">
        <f>C10*D10</f>
        <v>36720</v>
      </c>
      <c r="F10" s="672" t="s">
        <v>3394</v>
      </c>
    </row>
    <row r="12" spans="1:13" x14ac:dyDescent="0.2">
      <c r="A12" t="s">
        <v>3386</v>
      </c>
    </row>
    <row r="13" spans="1:13" x14ac:dyDescent="0.2">
      <c r="A13">
        <v>14</v>
      </c>
    </row>
    <row r="14" spans="1:13" x14ac:dyDescent="0.2">
      <c r="H14" t="s">
        <v>3342</v>
      </c>
      <c r="I14">
        <v>1.3</v>
      </c>
    </row>
    <row r="15" spans="1:13" x14ac:dyDescent="0.2">
      <c r="H15" t="s">
        <v>3340</v>
      </c>
      <c r="I15">
        <v>14</v>
      </c>
    </row>
    <row r="16" spans="1:13" x14ac:dyDescent="0.2">
      <c r="H16" t="s">
        <v>3341</v>
      </c>
      <c r="I16">
        <f>I15/0.3</f>
        <v>46.666666666666671</v>
      </c>
    </row>
    <row r="17" spans="1:9" x14ac:dyDescent="0.2">
      <c r="B17" t="s">
        <v>1454</v>
      </c>
      <c r="C17" t="s">
        <v>618</v>
      </c>
      <c r="D17" t="s">
        <v>3339</v>
      </c>
      <c r="E17" t="s">
        <v>1413</v>
      </c>
      <c r="H17" t="s">
        <v>3343</v>
      </c>
      <c r="I17">
        <f>I16*I14</f>
        <v>60.666666666666671</v>
      </c>
    </row>
    <row r="18" spans="1:9" x14ac:dyDescent="0.2">
      <c r="A18" t="s">
        <v>3345</v>
      </c>
      <c r="B18" s="664" t="s">
        <v>3337</v>
      </c>
      <c r="C18" s="47">
        <f>ROUNDUP(I17/6,0)*6</f>
        <v>66</v>
      </c>
      <c r="D18" s="976">
        <v>0</v>
      </c>
      <c r="E18" s="665">
        <f>C18*D18</f>
        <v>0</v>
      </c>
      <c r="H18" t="s">
        <v>3344</v>
      </c>
      <c r="I18">
        <f>I15*4</f>
        <v>56</v>
      </c>
    </row>
    <row r="19" spans="1:9" x14ac:dyDescent="0.2">
      <c r="B19" s="988" t="s">
        <v>3385</v>
      </c>
      <c r="C19" s="987">
        <f>ROUNDUP(I18/6,0)*6</f>
        <v>60</v>
      </c>
      <c r="D19" s="987">
        <v>140</v>
      </c>
      <c r="E19" s="989">
        <f>C19*D19</f>
        <v>8400</v>
      </c>
      <c r="F19" s="672" t="s">
        <v>3393</v>
      </c>
    </row>
    <row r="20" spans="1:9" x14ac:dyDescent="0.2">
      <c r="A20" t="s">
        <v>3346</v>
      </c>
      <c r="B20" s="666" t="s">
        <v>3337</v>
      </c>
      <c r="C20" s="47">
        <f>I24</f>
        <v>204</v>
      </c>
      <c r="D20" s="47">
        <v>0</v>
      </c>
      <c r="E20" s="667">
        <f>C20*D20</f>
        <v>0</v>
      </c>
      <c r="H20" t="s">
        <v>3346</v>
      </c>
    </row>
    <row r="21" spans="1:9" x14ac:dyDescent="0.2">
      <c r="B21" s="666" t="s">
        <v>3383</v>
      </c>
      <c r="C21" s="47">
        <v>-80</v>
      </c>
      <c r="D21" s="47">
        <v>0</v>
      </c>
      <c r="E21" s="667">
        <f>C21*D21</f>
        <v>0</v>
      </c>
      <c r="H21" t="s">
        <v>3359</v>
      </c>
      <c r="I21">
        <v>1</v>
      </c>
    </row>
    <row r="22" spans="1:9" x14ac:dyDescent="0.2">
      <c r="B22" s="985" t="s">
        <v>3384</v>
      </c>
      <c r="C22" s="987">
        <f>C18+C20+C21</f>
        <v>190</v>
      </c>
      <c r="D22" s="987">
        <v>95</v>
      </c>
      <c r="E22" s="989">
        <f>C22*D22</f>
        <v>18050</v>
      </c>
      <c r="F22" s="672" t="s">
        <v>3392</v>
      </c>
      <c r="H22" t="s">
        <v>3350</v>
      </c>
      <c r="I22">
        <v>0.5</v>
      </c>
    </row>
    <row r="23" spans="1:9" x14ac:dyDescent="0.2">
      <c r="B23" s="668"/>
      <c r="C23" s="977"/>
      <c r="D23" s="977"/>
      <c r="E23" s="977"/>
      <c r="H23" t="s">
        <v>3351</v>
      </c>
      <c r="I23">
        <f>C8</f>
        <v>136</v>
      </c>
    </row>
    <row r="24" spans="1:9" x14ac:dyDescent="0.2">
      <c r="H24" t="s">
        <v>3352</v>
      </c>
      <c r="I24">
        <f>(I22+I21)*I23</f>
        <v>204</v>
      </c>
    </row>
    <row r="25" spans="1:9" x14ac:dyDescent="0.2">
      <c r="A25" t="s">
        <v>3355</v>
      </c>
      <c r="C25" t="s">
        <v>623</v>
      </c>
    </row>
    <row r="26" spans="1:9" x14ac:dyDescent="0.2">
      <c r="A26" t="s">
        <v>3357</v>
      </c>
      <c r="B26" t="s">
        <v>3354</v>
      </c>
      <c r="C26" s="82">
        <f>I15*0.35*0.6</f>
        <v>2.9399999999999995</v>
      </c>
    </row>
    <row r="27" spans="1:9" x14ac:dyDescent="0.2">
      <c r="B27" t="s">
        <v>3353</v>
      </c>
      <c r="C27">
        <f>A8*0.125</f>
        <v>2.125</v>
      </c>
      <c r="G27" s="82"/>
    </row>
    <row r="28" spans="1:9" x14ac:dyDescent="0.2">
      <c r="B28" t="s">
        <v>851</v>
      </c>
      <c r="C28" s="970">
        <f>ROUNDUP((C26+C27)*1.25,0)</f>
        <v>7</v>
      </c>
      <c r="D28">
        <v>3500</v>
      </c>
      <c r="E28" s="975">
        <f>C28*D28</f>
        <v>24500</v>
      </c>
      <c r="F28" s="672" t="s">
        <v>3395</v>
      </c>
    </row>
    <row r="29" spans="1:9" x14ac:dyDescent="0.2">
      <c r="A29" t="s">
        <v>3358</v>
      </c>
    </row>
    <row r="30" spans="1:9" x14ac:dyDescent="0.2">
      <c r="C30" t="s">
        <v>656</v>
      </c>
    </row>
    <row r="31" spans="1:9" x14ac:dyDescent="0.2">
      <c r="B31" t="s">
        <v>1517</v>
      </c>
      <c r="C31">
        <f>ROUNDUP((C26+C27)*220,0)</f>
        <v>1115</v>
      </c>
      <c r="D31">
        <v>30</v>
      </c>
      <c r="E31" s="975">
        <f>C31*D31</f>
        <v>33450</v>
      </c>
      <c r="F31" s="672" t="s">
        <v>3391</v>
      </c>
    </row>
    <row r="33" spans="2:6" x14ac:dyDescent="0.2">
      <c r="C33" t="s">
        <v>623</v>
      </c>
    </row>
    <row r="34" spans="2:6" x14ac:dyDescent="0.2">
      <c r="B34" t="s">
        <v>3336</v>
      </c>
      <c r="C34">
        <v>2</v>
      </c>
      <c r="D34">
        <v>3700</v>
      </c>
      <c r="E34">
        <f>C34*D34</f>
        <v>7400</v>
      </c>
      <c r="F34" s="672" t="s">
        <v>3396</v>
      </c>
    </row>
    <row r="35" spans="2:6" x14ac:dyDescent="0.2">
      <c r="B35" t="s">
        <v>1518</v>
      </c>
      <c r="C35">
        <v>0</v>
      </c>
      <c r="D35">
        <v>8000</v>
      </c>
      <c r="E35">
        <f>C35*D35</f>
        <v>0</v>
      </c>
    </row>
    <row r="36" spans="2:6" ht="13.5" thickBot="1" x14ac:dyDescent="0.25"/>
    <row r="37" spans="2:6" ht="13.5" thickBot="1" x14ac:dyDescent="0.25">
      <c r="E37" s="990">
        <f>E31+E28+E22+E19+E10+E34</f>
        <v>128520</v>
      </c>
    </row>
    <row r="42" spans="2:6" x14ac:dyDescent="0.2">
      <c r="D42" t="s">
        <v>438</v>
      </c>
      <c r="E42" t="s">
        <v>439</v>
      </c>
    </row>
    <row r="43" spans="2:6" x14ac:dyDescent="0.2">
      <c r="B43" s="588" t="s">
        <v>2860</v>
      </c>
      <c r="C43" s="588"/>
      <c r="D43" s="980">
        <v>11310</v>
      </c>
      <c r="E43" s="98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Munka32"/>
  <dimension ref="A1:K8"/>
  <sheetViews>
    <sheetView workbookViewId="0">
      <selection activeCell="C13" sqref="C13"/>
    </sheetView>
  </sheetViews>
  <sheetFormatPr defaultRowHeight="12.75" x14ac:dyDescent="0.2"/>
  <cols>
    <col min="1" max="1" width="20.5703125" customWidth="1"/>
    <col min="2" max="2" width="11.5703125" customWidth="1"/>
    <col min="3" max="3" width="9.85546875" customWidth="1"/>
    <col min="4" max="4" width="11.28515625" customWidth="1"/>
  </cols>
  <sheetData>
    <row r="1" spans="1:11" x14ac:dyDescent="0.2">
      <c r="D1" t="s">
        <v>3374</v>
      </c>
      <c r="E1" t="s">
        <v>3339</v>
      </c>
      <c r="F1" t="s">
        <v>1413</v>
      </c>
      <c r="I1" t="s">
        <v>642</v>
      </c>
      <c r="J1" t="s">
        <v>611</v>
      </c>
    </row>
    <row r="2" spans="1:11" x14ac:dyDescent="0.2">
      <c r="A2" t="s">
        <v>3390</v>
      </c>
      <c r="D2">
        <v>48</v>
      </c>
      <c r="E2">
        <v>665</v>
      </c>
      <c r="F2" s="991">
        <f>D2*E2</f>
        <v>31920</v>
      </c>
      <c r="G2">
        <f>B2*C2*D2/10000</f>
        <v>0</v>
      </c>
      <c r="H2">
        <v>6000</v>
      </c>
    </row>
    <row r="3" spans="1:11" x14ac:dyDescent="0.2">
      <c r="A3" t="s">
        <v>3375</v>
      </c>
      <c r="B3">
        <v>2.5</v>
      </c>
      <c r="C3">
        <v>10</v>
      </c>
      <c r="D3">
        <f>I3/3*5</f>
        <v>130</v>
      </c>
      <c r="E3">
        <f>H3*(0.1*0.025)</f>
        <v>171.25000000000003</v>
      </c>
      <c r="F3" s="970">
        <f>D3*E3</f>
        <v>22262.500000000004</v>
      </c>
      <c r="G3">
        <f>B3*C3*D3/10000</f>
        <v>0.32500000000000001</v>
      </c>
      <c r="H3">
        <v>68500</v>
      </c>
      <c r="I3">
        <v>78</v>
      </c>
      <c r="J3">
        <f>D3*0.125*2</f>
        <v>32.5</v>
      </c>
    </row>
    <row r="4" spans="1:11" x14ac:dyDescent="0.2">
      <c r="A4" t="s">
        <v>3397</v>
      </c>
      <c r="B4">
        <v>2.5</v>
      </c>
      <c r="C4">
        <v>15</v>
      </c>
      <c r="D4">
        <v>90</v>
      </c>
      <c r="E4">
        <f>H4*(0.15*0.025)</f>
        <v>256.875</v>
      </c>
      <c r="F4" s="991">
        <f>D4*E4</f>
        <v>23118.75</v>
      </c>
      <c r="G4">
        <f>B4*C4*D4/10000</f>
        <v>0.33750000000000002</v>
      </c>
      <c r="H4">
        <v>68500</v>
      </c>
      <c r="J4">
        <f>D4*0.225*2</f>
        <v>40.5</v>
      </c>
    </row>
    <row r="5" spans="1:11" x14ac:dyDescent="0.2">
      <c r="A5" t="s">
        <v>3398</v>
      </c>
      <c r="B5">
        <v>5</v>
      </c>
      <c r="C5">
        <v>15</v>
      </c>
      <c r="D5">
        <v>24</v>
      </c>
      <c r="E5">
        <f>H5*(0.15*0.05)</f>
        <v>513.75</v>
      </c>
      <c r="F5" s="991">
        <f>D5*E5</f>
        <v>12330</v>
      </c>
      <c r="G5">
        <f>B5*C5*D5/10000</f>
        <v>0.18</v>
      </c>
      <c r="H5">
        <v>68500</v>
      </c>
      <c r="J5">
        <f>D5*0.225*2</f>
        <v>10.8</v>
      </c>
    </row>
    <row r="6" spans="1:11" x14ac:dyDescent="0.2">
      <c r="A6" t="s">
        <v>3380</v>
      </c>
      <c r="B6">
        <v>2.5</v>
      </c>
      <c r="C6">
        <v>12.5</v>
      </c>
      <c r="D6">
        <v>30</v>
      </c>
      <c r="E6">
        <f>H6*(0.15*0.025)</f>
        <v>256.875</v>
      </c>
      <c r="F6" s="970">
        <f>D6*E6</f>
        <v>7706.25</v>
      </c>
      <c r="G6">
        <f>B6*C6*D6/10000</f>
        <v>9.375E-2</v>
      </c>
      <c r="H6">
        <v>68500</v>
      </c>
      <c r="J6">
        <f>D6*0.15*2</f>
        <v>9</v>
      </c>
    </row>
    <row r="7" spans="1:11" x14ac:dyDescent="0.2">
      <c r="A7" t="s">
        <v>3376</v>
      </c>
      <c r="D7">
        <f>K7*30</f>
        <v>1.02</v>
      </c>
      <c r="F7" s="970"/>
      <c r="H7">
        <v>85</v>
      </c>
      <c r="I7">
        <v>20</v>
      </c>
      <c r="J7">
        <v>20</v>
      </c>
      <c r="K7">
        <f>H7*I7*J7/1000000</f>
        <v>3.4000000000000002E-2</v>
      </c>
    </row>
    <row r="8" spans="1:11" x14ac:dyDescent="0.2">
      <c r="F8" s="992">
        <f>SUM(F2:F7)</f>
        <v>97337.5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Munka33"/>
  <dimension ref="A3:G36"/>
  <sheetViews>
    <sheetView topLeftCell="A22" workbookViewId="0">
      <selection activeCell="G30" sqref="G30"/>
    </sheetView>
  </sheetViews>
  <sheetFormatPr defaultRowHeight="12.75" x14ac:dyDescent="0.2"/>
  <cols>
    <col min="2" max="2" width="17.7109375" customWidth="1"/>
    <col min="4" max="4" width="14.28515625" style="1" bestFit="1" customWidth="1"/>
    <col min="5" max="5" width="16.7109375" style="1" bestFit="1" customWidth="1"/>
    <col min="6" max="7" width="11.28515625" style="1" customWidth="1"/>
  </cols>
  <sheetData>
    <row r="3" spans="1:7" x14ac:dyDescent="0.2">
      <c r="B3" s="691" t="s">
        <v>2907</v>
      </c>
      <c r="C3" t="s">
        <v>777</v>
      </c>
      <c r="D3" s="1" t="s">
        <v>2862</v>
      </c>
      <c r="E3" s="1" t="s">
        <v>2863</v>
      </c>
      <c r="F3" s="1" t="s">
        <v>438</v>
      </c>
      <c r="G3" s="1" t="s">
        <v>1135</v>
      </c>
    </row>
    <row r="4" spans="1:7" x14ac:dyDescent="0.2">
      <c r="B4" t="s">
        <v>1905</v>
      </c>
      <c r="C4">
        <v>108</v>
      </c>
      <c r="D4" s="1">
        <v>400</v>
      </c>
      <c r="F4" s="1">
        <f>C4*D4</f>
        <v>43200</v>
      </c>
    </row>
    <row r="5" spans="1:7" x14ac:dyDescent="0.2">
      <c r="B5" t="s">
        <v>1905</v>
      </c>
      <c r="C5">
        <v>10</v>
      </c>
      <c r="D5" s="1">
        <v>348</v>
      </c>
      <c r="F5" s="1">
        <f>C5*D5</f>
        <v>3480</v>
      </c>
    </row>
    <row r="6" spans="1:7" x14ac:dyDescent="0.2">
      <c r="B6" t="s">
        <v>2860</v>
      </c>
      <c r="C6">
        <v>18.239999999999998</v>
      </c>
      <c r="D6" s="1">
        <v>3190</v>
      </c>
      <c r="F6" s="1">
        <f t="shared" ref="F6:F16" si="0">C6*D6</f>
        <v>58185.599999999999</v>
      </c>
    </row>
    <row r="7" spans="1:7" x14ac:dyDescent="0.2">
      <c r="B7" t="s">
        <v>2860</v>
      </c>
      <c r="C7">
        <v>2.2000000000000002</v>
      </c>
      <c r="D7" s="1">
        <v>3190</v>
      </c>
      <c r="F7" s="1">
        <f>C7*D7</f>
        <v>7018.0000000000009</v>
      </c>
    </row>
    <row r="8" spans="1:7" x14ac:dyDescent="0.2">
      <c r="B8" t="s">
        <v>2861</v>
      </c>
      <c r="C8">
        <v>26</v>
      </c>
      <c r="D8" s="1">
        <v>659</v>
      </c>
      <c r="F8" s="1">
        <f t="shared" si="0"/>
        <v>17134</v>
      </c>
    </row>
    <row r="9" spans="1:7" x14ac:dyDescent="0.2">
      <c r="B9" t="s">
        <v>2870</v>
      </c>
      <c r="C9">
        <v>26</v>
      </c>
      <c r="D9" s="1">
        <v>849</v>
      </c>
      <c r="F9" s="1">
        <f t="shared" si="0"/>
        <v>22074</v>
      </c>
    </row>
    <row r="10" spans="1:7" x14ac:dyDescent="0.2">
      <c r="B10" t="s">
        <v>2902</v>
      </c>
      <c r="C10">
        <v>2</v>
      </c>
      <c r="D10" s="1">
        <v>1000</v>
      </c>
      <c r="F10" s="1">
        <f>C10*D10</f>
        <v>2000</v>
      </c>
    </row>
    <row r="11" spans="1:7" x14ac:dyDescent="0.2">
      <c r="B11" t="s">
        <v>2902</v>
      </c>
      <c r="C11">
        <v>3</v>
      </c>
      <c r="D11" s="1">
        <v>0</v>
      </c>
      <c r="F11" s="1">
        <f>C11*D11</f>
        <v>0</v>
      </c>
    </row>
    <row r="12" spans="1:7" x14ac:dyDescent="0.2">
      <c r="A12" s="588" t="s">
        <v>439</v>
      </c>
      <c r="B12" s="588" t="s">
        <v>2860</v>
      </c>
      <c r="C12" s="588">
        <v>17</v>
      </c>
      <c r="D12" s="835"/>
      <c r="E12" s="835">
        <v>2000</v>
      </c>
      <c r="F12" s="835"/>
      <c r="G12" s="835">
        <f>C12*E12</f>
        <v>34000</v>
      </c>
    </row>
    <row r="13" spans="1:7" x14ac:dyDescent="0.2">
      <c r="A13" s="588"/>
      <c r="B13" s="588" t="s">
        <v>2861</v>
      </c>
      <c r="C13" s="588">
        <v>25</v>
      </c>
      <c r="D13" s="835"/>
      <c r="E13" s="835">
        <v>1000</v>
      </c>
      <c r="F13" s="835"/>
      <c r="G13" s="835">
        <f>C13*E13</f>
        <v>25000</v>
      </c>
    </row>
    <row r="14" spans="1:7" x14ac:dyDescent="0.2">
      <c r="A14" s="588"/>
      <c r="B14" s="588" t="s">
        <v>2870</v>
      </c>
      <c r="C14" s="588">
        <v>13</v>
      </c>
      <c r="D14" s="835"/>
      <c r="E14" s="835">
        <v>2000</v>
      </c>
      <c r="F14" s="835"/>
      <c r="G14" s="835">
        <f>C14*E14</f>
        <v>26000</v>
      </c>
    </row>
    <row r="15" spans="1:7" x14ac:dyDescent="0.2">
      <c r="B15" t="s">
        <v>2871</v>
      </c>
      <c r="C15">
        <v>4</v>
      </c>
      <c r="D15" s="1">
        <v>10625</v>
      </c>
      <c r="F15" s="1">
        <f t="shared" si="0"/>
        <v>42500</v>
      </c>
    </row>
    <row r="16" spans="1:7" x14ac:dyDescent="0.2">
      <c r="B16" t="s">
        <v>2872</v>
      </c>
      <c r="C16">
        <v>1</v>
      </c>
      <c r="D16" s="1">
        <v>2700</v>
      </c>
      <c r="F16" s="1">
        <f t="shared" si="0"/>
        <v>2700</v>
      </c>
    </row>
    <row r="17" spans="1:7" x14ac:dyDescent="0.2">
      <c r="B17" t="s">
        <v>2898</v>
      </c>
      <c r="C17">
        <v>5</v>
      </c>
      <c r="D17" s="1">
        <v>400</v>
      </c>
      <c r="F17" s="1">
        <f>C17*D17</f>
        <v>2000</v>
      </c>
    </row>
    <row r="18" spans="1:7" x14ac:dyDescent="0.2">
      <c r="B18" t="s">
        <v>2899</v>
      </c>
      <c r="C18">
        <v>3</v>
      </c>
      <c r="D18" s="1">
        <v>2700</v>
      </c>
      <c r="F18" s="1">
        <f>C18*D18</f>
        <v>8100</v>
      </c>
    </row>
    <row r="19" spans="1:7" x14ac:dyDescent="0.2">
      <c r="B19" t="s">
        <v>1518</v>
      </c>
      <c r="C19">
        <v>2</v>
      </c>
      <c r="D19" s="1">
        <v>6500</v>
      </c>
      <c r="F19" s="1">
        <f>C19*D19</f>
        <v>13000</v>
      </c>
    </row>
    <row r="20" spans="1:7" x14ac:dyDescent="0.2">
      <c r="F20" s="907">
        <f>SUM(F4:F19)</f>
        <v>221391.6</v>
      </c>
      <c r="G20" s="907">
        <f>SUM(G4:G19)</f>
        <v>85000</v>
      </c>
    </row>
    <row r="22" spans="1:7" x14ac:dyDescent="0.2">
      <c r="B22" s="691" t="s">
        <v>2912</v>
      </c>
      <c r="C22" t="s">
        <v>777</v>
      </c>
      <c r="D22" s="1" t="s">
        <v>2862</v>
      </c>
      <c r="E22" s="1" t="s">
        <v>2863</v>
      </c>
      <c r="F22" s="1" t="s">
        <v>438</v>
      </c>
      <c r="G22" s="1" t="s">
        <v>1135</v>
      </c>
    </row>
    <row r="23" spans="1:7" x14ac:dyDescent="0.2">
      <c r="B23" t="s">
        <v>2860</v>
      </c>
      <c r="C23">
        <v>26</v>
      </c>
      <c r="D23" s="1">
        <v>3190</v>
      </c>
      <c r="F23" s="1">
        <f>C23*D23</f>
        <v>82940</v>
      </c>
    </row>
    <row r="24" spans="1:7" x14ac:dyDescent="0.2">
      <c r="B24" t="s">
        <v>2861</v>
      </c>
      <c r="C24">
        <v>4</v>
      </c>
      <c r="D24" s="1">
        <v>659</v>
      </c>
      <c r="F24" s="1">
        <f>C24*D24</f>
        <v>2636</v>
      </c>
    </row>
    <row r="25" spans="1:7" x14ac:dyDescent="0.2">
      <c r="B25" t="s">
        <v>2902</v>
      </c>
      <c r="C25">
        <v>2</v>
      </c>
      <c r="D25" s="1">
        <v>3000</v>
      </c>
      <c r="F25" s="1">
        <f>C25*D25</f>
        <v>6000</v>
      </c>
    </row>
    <row r="26" spans="1:7" x14ac:dyDescent="0.2">
      <c r="B26" t="s">
        <v>2908</v>
      </c>
      <c r="C26">
        <v>0</v>
      </c>
      <c r="D26" s="1">
        <v>3000</v>
      </c>
      <c r="F26" s="1">
        <f>C26*D26</f>
        <v>0</v>
      </c>
    </row>
    <row r="27" spans="1:7" x14ac:dyDescent="0.2">
      <c r="B27" t="s">
        <v>2913</v>
      </c>
      <c r="C27">
        <v>30</v>
      </c>
      <c r="D27" s="1">
        <v>210</v>
      </c>
      <c r="F27" s="1">
        <f>C27*D27</f>
        <v>6300</v>
      </c>
    </row>
    <row r="28" spans="1:7" x14ac:dyDescent="0.2">
      <c r="B28" t="s">
        <v>2914</v>
      </c>
      <c r="C28" t="s">
        <v>2915</v>
      </c>
    </row>
    <row r="29" spans="1:7" x14ac:dyDescent="0.2">
      <c r="B29" t="s">
        <v>2916</v>
      </c>
      <c r="C29" t="s">
        <v>2917</v>
      </c>
    </row>
    <row r="30" spans="1:7" x14ac:dyDescent="0.2">
      <c r="A30" s="588" t="s">
        <v>439</v>
      </c>
      <c r="B30" s="588" t="s">
        <v>2860</v>
      </c>
      <c r="C30" s="588">
        <v>25</v>
      </c>
      <c r="D30" s="835"/>
      <c r="E30" s="835">
        <v>2000</v>
      </c>
      <c r="F30" s="835"/>
      <c r="G30" s="835">
        <f>C30*E30</f>
        <v>50000</v>
      </c>
    </row>
    <row r="31" spans="1:7" x14ac:dyDescent="0.2">
      <c r="A31" s="588"/>
      <c r="B31" s="588" t="s">
        <v>2861</v>
      </c>
      <c r="C31" s="588">
        <v>4</v>
      </c>
      <c r="D31" s="835"/>
      <c r="E31" s="835">
        <v>1000</v>
      </c>
      <c r="F31" s="835"/>
      <c r="G31" s="835">
        <f>C31*E31</f>
        <v>4000</v>
      </c>
    </row>
    <row r="32" spans="1:7" x14ac:dyDescent="0.2">
      <c r="B32" t="s">
        <v>2871</v>
      </c>
      <c r="C32">
        <v>6</v>
      </c>
      <c r="D32" s="1">
        <v>10625</v>
      </c>
      <c r="F32" s="1">
        <f>C32*D32</f>
        <v>63750</v>
      </c>
    </row>
    <row r="33" spans="2:7" x14ac:dyDescent="0.2">
      <c r="B33" t="s">
        <v>2872</v>
      </c>
      <c r="C33">
        <v>2</v>
      </c>
      <c r="D33" s="1">
        <v>2700</v>
      </c>
      <c r="F33" s="1">
        <f>C33*D33</f>
        <v>5400</v>
      </c>
    </row>
    <row r="34" spans="2:7" x14ac:dyDescent="0.2">
      <c r="B34" t="s">
        <v>2898</v>
      </c>
      <c r="C34">
        <v>6</v>
      </c>
      <c r="D34" s="1">
        <v>400</v>
      </c>
      <c r="F34" s="1">
        <f>C34*D34</f>
        <v>2400</v>
      </c>
    </row>
    <row r="35" spans="2:7" x14ac:dyDescent="0.2">
      <c r="B35" t="s">
        <v>1518</v>
      </c>
      <c r="C35">
        <v>2</v>
      </c>
      <c r="D35" s="1">
        <v>6500</v>
      </c>
      <c r="F35" s="1">
        <f>C35*D35</f>
        <v>13000</v>
      </c>
    </row>
    <row r="36" spans="2:7" x14ac:dyDescent="0.2">
      <c r="F36" s="907">
        <f>SUM(F23:F35)</f>
        <v>182426</v>
      </c>
      <c r="G36" s="907">
        <f>SUM(G23:G35)</f>
        <v>54000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Munka21"/>
  <dimension ref="B1:E76"/>
  <sheetViews>
    <sheetView topLeftCell="B1" workbookViewId="0">
      <selection activeCell="B70" sqref="B70"/>
    </sheetView>
  </sheetViews>
  <sheetFormatPr defaultRowHeight="12.75" x14ac:dyDescent="0.2"/>
  <cols>
    <col min="1" max="1" width="9.140625" style="105"/>
    <col min="2" max="2" width="29.140625" style="407" bestFit="1" customWidth="1"/>
    <col min="3" max="3" width="33.140625" style="407" customWidth="1"/>
    <col min="4" max="4" width="23.85546875" style="408" bestFit="1" customWidth="1"/>
    <col min="5" max="5" width="43.140625" style="105" bestFit="1" customWidth="1"/>
    <col min="6" max="16384" width="9.140625" style="105"/>
  </cols>
  <sheetData>
    <row r="1" spans="2:4" x14ac:dyDescent="0.2">
      <c r="B1" s="407" t="s">
        <v>267</v>
      </c>
      <c r="C1" s="407" t="s">
        <v>1574</v>
      </c>
      <c r="D1" s="408" t="s">
        <v>1575</v>
      </c>
    </row>
    <row r="2" spans="2:4" x14ac:dyDescent="0.2">
      <c r="B2" s="407" t="s">
        <v>62</v>
      </c>
      <c r="C2" s="407" t="s">
        <v>1568</v>
      </c>
      <c r="D2" s="408" t="s">
        <v>1569</v>
      </c>
    </row>
    <row r="3" spans="2:4" x14ac:dyDescent="0.2">
      <c r="B3" s="407" t="s">
        <v>194</v>
      </c>
      <c r="C3" s="407" t="s">
        <v>3277</v>
      </c>
      <c r="D3" s="408" t="s">
        <v>291</v>
      </c>
    </row>
    <row r="4" spans="2:4" x14ac:dyDescent="0.2">
      <c r="B4" s="407" t="s">
        <v>352</v>
      </c>
      <c r="C4" s="407" t="s">
        <v>353</v>
      </c>
      <c r="D4" s="408" t="s">
        <v>354</v>
      </c>
    </row>
    <row r="5" spans="2:4" x14ac:dyDescent="0.2">
      <c r="B5" s="407" t="s">
        <v>387</v>
      </c>
      <c r="C5" s="407" t="s">
        <v>388</v>
      </c>
      <c r="D5" s="408" t="s">
        <v>389</v>
      </c>
    </row>
    <row r="6" spans="2:4" x14ac:dyDescent="0.2">
      <c r="B6" s="407" t="s">
        <v>272</v>
      </c>
      <c r="C6" s="407" t="s">
        <v>273</v>
      </c>
      <c r="D6" s="408" t="s">
        <v>274</v>
      </c>
    </row>
    <row r="7" spans="2:4" x14ac:dyDescent="0.2">
      <c r="B7" s="407" t="s">
        <v>320</v>
      </c>
      <c r="C7" s="407" t="s">
        <v>273</v>
      </c>
      <c r="D7" s="408" t="s">
        <v>321</v>
      </c>
    </row>
    <row r="8" spans="2:4" x14ac:dyDescent="0.2">
      <c r="B8" s="407" t="s">
        <v>275</v>
      </c>
      <c r="C8" s="407" t="s">
        <v>273</v>
      </c>
      <c r="D8" s="408" t="s">
        <v>276</v>
      </c>
    </row>
    <row r="9" spans="2:4" x14ac:dyDescent="0.2">
      <c r="B9" s="407" t="s">
        <v>343</v>
      </c>
      <c r="C9" s="407" t="s">
        <v>344</v>
      </c>
      <c r="D9" s="408" t="s">
        <v>346</v>
      </c>
    </row>
    <row r="10" spans="2:4" x14ac:dyDescent="0.2">
      <c r="B10" s="407" t="s">
        <v>338</v>
      </c>
      <c r="C10" s="407" t="s">
        <v>345</v>
      </c>
      <c r="D10" s="408" t="s">
        <v>339</v>
      </c>
    </row>
    <row r="11" spans="2:4" x14ac:dyDescent="0.2">
      <c r="B11" s="407" t="s">
        <v>1576</v>
      </c>
      <c r="C11" s="407" t="s">
        <v>1570</v>
      </c>
      <c r="D11" s="407" t="s">
        <v>1578</v>
      </c>
    </row>
    <row r="12" spans="2:4" x14ac:dyDescent="0.2">
      <c r="B12" s="407" t="s">
        <v>898</v>
      </c>
      <c r="C12" s="407" t="s">
        <v>1570</v>
      </c>
      <c r="D12" s="408" t="s">
        <v>1572</v>
      </c>
    </row>
    <row r="13" spans="2:4" x14ac:dyDescent="0.2">
      <c r="B13" s="407" t="s">
        <v>898</v>
      </c>
      <c r="C13" s="407" t="s">
        <v>1571</v>
      </c>
      <c r="D13" s="408" t="s">
        <v>1573</v>
      </c>
    </row>
    <row r="14" spans="2:4" x14ac:dyDescent="0.2">
      <c r="B14" s="407" t="s">
        <v>1867</v>
      </c>
      <c r="C14" s="407" t="s">
        <v>268</v>
      </c>
      <c r="D14" s="408" t="s">
        <v>269</v>
      </c>
    </row>
    <row r="15" spans="2:4" x14ac:dyDescent="0.2">
      <c r="B15" s="407" t="s">
        <v>277</v>
      </c>
      <c r="C15" s="407" t="s">
        <v>407</v>
      </c>
      <c r="D15" s="408" t="s">
        <v>278</v>
      </c>
    </row>
    <row r="16" spans="2:4" x14ac:dyDescent="0.2">
      <c r="B16" s="407" t="s">
        <v>330</v>
      </c>
      <c r="C16" s="407" t="s">
        <v>331</v>
      </c>
      <c r="D16" s="408" t="s">
        <v>332</v>
      </c>
    </row>
    <row r="17" spans="2:4" x14ac:dyDescent="0.2">
      <c r="B17" s="407" t="s">
        <v>333</v>
      </c>
      <c r="C17" s="407" t="s">
        <v>334</v>
      </c>
      <c r="D17" s="408" t="s">
        <v>335</v>
      </c>
    </row>
    <row r="18" spans="2:4" x14ac:dyDescent="0.2">
      <c r="B18" s="407" t="s">
        <v>1444</v>
      </c>
      <c r="C18" s="407" t="s">
        <v>1445</v>
      </c>
      <c r="D18" s="408" t="s">
        <v>1450</v>
      </c>
    </row>
    <row r="19" spans="2:4" x14ac:dyDescent="0.2">
      <c r="B19" s="407" t="s">
        <v>292</v>
      </c>
      <c r="C19" s="407" t="s">
        <v>292</v>
      </c>
      <c r="D19" s="408" t="s">
        <v>293</v>
      </c>
    </row>
    <row r="20" spans="2:4" x14ac:dyDescent="0.2">
      <c r="B20" s="407" t="s">
        <v>423</v>
      </c>
      <c r="C20" s="407" t="s">
        <v>301</v>
      </c>
      <c r="D20" s="408" t="s">
        <v>319</v>
      </c>
    </row>
    <row r="21" spans="2:4" x14ac:dyDescent="0.2">
      <c r="B21" s="407" t="s">
        <v>395</v>
      </c>
      <c r="C21" s="407" t="s">
        <v>301</v>
      </c>
      <c r="D21" s="407" t="s">
        <v>396</v>
      </c>
    </row>
    <row r="22" spans="2:4" x14ac:dyDescent="0.2">
      <c r="B22" s="407" t="s">
        <v>296</v>
      </c>
      <c r="C22" s="407" t="s">
        <v>301</v>
      </c>
      <c r="D22" s="408" t="s">
        <v>297</v>
      </c>
    </row>
    <row r="23" spans="2:4" x14ac:dyDescent="0.2">
      <c r="B23" s="407" t="s">
        <v>294</v>
      </c>
      <c r="C23" s="407" t="s">
        <v>301</v>
      </c>
      <c r="D23" s="408" t="s">
        <v>295</v>
      </c>
    </row>
    <row r="24" spans="2:4" x14ac:dyDescent="0.2">
      <c r="B24" s="407" t="s">
        <v>392</v>
      </c>
      <c r="C24" s="407" t="s">
        <v>393</v>
      </c>
      <c r="D24" s="408" t="s">
        <v>394</v>
      </c>
    </row>
    <row r="25" spans="2:4" x14ac:dyDescent="0.2">
      <c r="B25" s="407" t="s">
        <v>1447</v>
      </c>
      <c r="C25" s="407" t="s">
        <v>987</v>
      </c>
      <c r="D25" s="408" t="s">
        <v>1448</v>
      </c>
    </row>
    <row r="26" spans="2:4" x14ac:dyDescent="0.2">
      <c r="B26" s="407" t="s">
        <v>1442</v>
      </c>
      <c r="C26" s="407" t="s">
        <v>1511</v>
      </c>
      <c r="D26" s="408" t="s">
        <v>1443</v>
      </c>
    </row>
    <row r="27" spans="2:4" x14ac:dyDescent="0.2">
      <c r="B27" s="407" t="s">
        <v>483</v>
      </c>
      <c r="C27" s="407" t="s">
        <v>816</v>
      </c>
      <c r="D27" s="408" t="s">
        <v>378</v>
      </c>
    </row>
    <row r="28" spans="2:4" x14ac:dyDescent="0.2">
      <c r="B28" s="105" t="s">
        <v>1577</v>
      </c>
      <c r="C28" s="407" t="s">
        <v>1518</v>
      </c>
      <c r="D28" s="407" t="s">
        <v>1579</v>
      </c>
    </row>
    <row r="29" spans="2:4" x14ac:dyDescent="0.2">
      <c r="B29" s="407" t="s">
        <v>1342</v>
      </c>
      <c r="C29" s="407" t="s">
        <v>967</v>
      </c>
      <c r="D29" s="408" t="s">
        <v>351</v>
      </c>
    </row>
    <row r="30" spans="2:4" x14ac:dyDescent="0.2">
      <c r="B30" s="407" t="s">
        <v>30</v>
      </c>
      <c r="C30" s="407" t="s">
        <v>31</v>
      </c>
      <c r="D30" s="408" t="s">
        <v>29</v>
      </c>
    </row>
    <row r="31" spans="2:4" x14ac:dyDescent="0.2">
      <c r="B31" s="407" t="s">
        <v>376</v>
      </c>
      <c r="C31" s="407" t="s">
        <v>349</v>
      </c>
      <c r="D31" s="408" t="s">
        <v>377</v>
      </c>
    </row>
    <row r="32" spans="2:4" x14ac:dyDescent="0.2">
      <c r="B32" s="407" t="s">
        <v>348</v>
      </c>
      <c r="C32" s="407" t="s">
        <v>349</v>
      </c>
      <c r="D32" s="408" t="s">
        <v>350</v>
      </c>
    </row>
    <row r="33" spans="2:5" x14ac:dyDescent="0.2">
      <c r="B33" s="407" t="s">
        <v>251</v>
      </c>
      <c r="C33" s="407" t="s">
        <v>252</v>
      </c>
      <c r="D33" s="408" t="s">
        <v>253</v>
      </c>
    </row>
    <row r="34" spans="2:5" x14ac:dyDescent="0.2">
      <c r="B34" s="407" t="s">
        <v>1842</v>
      </c>
      <c r="C34" s="407" t="s">
        <v>1843</v>
      </c>
      <c r="D34" s="408" t="s">
        <v>1844</v>
      </c>
    </row>
    <row r="35" spans="2:5" x14ac:dyDescent="0.2">
      <c r="B35" s="407" t="s">
        <v>259</v>
      </c>
      <c r="C35" s="407" t="s">
        <v>260</v>
      </c>
      <c r="D35" s="408" t="s">
        <v>261</v>
      </c>
    </row>
    <row r="36" spans="2:5" x14ac:dyDescent="0.2">
      <c r="B36" s="407" t="s">
        <v>257</v>
      </c>
      <c r="C36" s="407" t="s">
        <v>255</v>
      </c>
      <c r="D36" s="408" t="s">
        <v>258</v>
      </c>
    </row>
    <row r="37" spans="2:5" x14ac:dyDescent="0.2">
      <c r="B37" s="407" t="s">
        <v>254</v>
      </c>
      <c r="C37" s="407" t="s">
        <v>255</v>
      </c>
      <c r="D37" s="408" t="s">
        <v>256</v>
      </c>
      <c r="E37" s="408"/>
    </row>
    <row r="38" spans="2:5" x14ac:dyDescent="0.2">
      <c r="B38" s="407" t="s">
        <v>492</v>
      </c>
      <c r="C38" s="407" t="s">
        <v>325</v>
      </c>
      <c r="D38" s="408" t="s">
        <v>326</v>
      </c>
    </row>
    <row r="39" spans="2:5" x14ac:dyDescent="0.2">
      <c r="B39" s="407" t="s">
        <v>342</v>
      </c>
      <c r="C39" s="407" t="s">
        <v>262</v>
      </c>
      <c r="D39" s="408" t="s">
        <v>263</v>
      </c>
    </row>
    <row r="40" spans="2:5" x14ac:dyDescent="0.2">
      <c r="B40" s="407" t="s">
        <v>298</v>
      </c>
      <c r="C40" s="407" t="s">
        <v>299</v>
      </c>
      <c r="D40" s="408" t="s">
        <v>300</v>
      </c>
    </row>
    <row r="41" spans="2:5" x14ac:dyDescent="0.2">
      <c r="B41" s="407" t="s">
        <v>323</v>
      </c>
      <c r="C41" s="407" t="s">
        <v>299</v>
      </c>
      <c r="D41" s="408" t="s">
        <v>324</v>
      </c>
    </row>
    <row r="42" spans="2:5" x14ac:dyDescent="0.2">
      <c r="B42" s="407" t="s">
        <v>264</v>
      </c>
      <c r="C42" s="407" t="s">
        <v>265</v>
      </c>
      <c r="D42" s="408" t="s">
        <v>266</v>
      </c>
    </row>
    <row r="43" spans="2:5" x14ac:dyDescent="0.2">
      <c r="B43" s="407" t="s">
        <v>359</v>
      </c>
      <c r="C43" s="407" t="s">
        <v>360</v>
      </c>
      <c r="D43" s="408" t="s">
        <v>370</v>
      </c>
    </row>
    <row r="44" spans="2:5" x14ac:dyDescent="0.2">
      <c r="B44" s="407" t="s">
        <v>285</v>
      </c>
      <c r="C44" s="407" t="s">
        <v>286</v>
      </c>
      <c r="D44" s="408" t="s">
        <v>284</v>
      </c>
    </row>
    <row r="45" spans="2:5" x14ac:dyDescent="0.2">
      <c r="B45" s="407" t="s">
        <v>340</v>
      </c>
      <c r="C45" s="407" t="s">
        <v>340</v>
      </c>
      <c r="D45" s="408" t="s">
        <v>341</v>
      </c>
    </row>
    <row r="46" spans="2:5" x14ac:dyDescent="0.2">
      <c r="B46" s="407" t="s">
        <v>1752</v>
      </c>
      <c r="C46" s="407" t="s">
        <v>1753</v>
      </c>
      <c r="D46" s="408" t="s">
        <v>1754</v>
      </c>
    </row>
    <row r="47" spans="2:5" x14ac:dyDescent="0.2">
      <c r="B47" s="407" t="s">
        <v>327</v>
      </c>
      <c r="C47" s="407" t="s">
        <v>328</v>
      </c>
      <c r="D47" s="408" t="s">
        <v>329</v>
      </c>
    </row>
    <row r="48" spans="2:5" x14ac:dyDescent="0.2">
      <c r="B48" s="407" t="s">
        <v>1607</v>
      </c>
      <c r="C48" s="407" t="s">
        <v>1608</v>
      </c>
      <c r="D48" s="408" t="s">
        <v>1609</v>
      </c>
      <c r="E48" s="105" t="s">
        <v>1614</v>
      </c>
    </row>
    <row r="49" spans="2:5" x14ac:dyDescent="0.2">
      <c r="B49" s="407" t="s">
        <v>371</v>
      </c>
      <c r="C49" s="407" t="s">
        <v>371</v>
      </c>
      <c r="D49" s="408" t="s">
        <v>372</v>
      </c>
    </row>
    <row r="50" spans="2:5" x14ac:dyDescent="0.2">
      <c r="B50" s="407" t="s">
        <v>371</v>
      </c>
      <c r="C50" s="407" t="s">
        <v>371</v>
      </c>
      <c r="D50" s="408" t="s">
        <v>373</v>
      </c>
    </row>
    <row r="51" spans="2:5" x14ac:dyDescent="0.2">
      <c r="B51" s="407" t="s">
        <v>371</v>
      </c>
      <c r="C51" s="407" t="s">
        <v>371</v>
      </c>
      <c r="D51" s="408" t="s">
        <v>374</v>
      </c>
    </row>
    <row r="52" spans="2:5" x14ac:dyDescent="0.2">
      <c r="B52" s="407" t="s">
        <v>371</v>
      </c>
      <c r="C52" s="407" t="s">
        <v>371</v>
      </c>
      <c r="D52" s="408" t="s">
        <v>375</v>
      </c>
    </row>
    <row r="53" spans="2:5" x14ac:dyDescent="0.2">
      <c r="B53" s="407" t="s">
        <v>270</v>
      </c>
      <c r="C53" s="407" t="s">
        <v>1488</v>
      </c>
      <c r="D53" s="408" t="s">
        <v>271</v>
      </c>
    </row>
    <row r="54" spans="2:5" x14ac:dyDescent="0.2">
      <c r="B54" s="407" t="s">
        <v>1497</v>
      </c>
      <c r="C54" s="407" t="s">
        <v>1488</v>
      </c>
      <c r="D54" s="408" t="s">
        <v>1510</v>
      </c>
    </row>
    <row r="55" spans="2:5" x14ac:dyDescent="0.2">
      <c r="B55" s="409" t="s">
        <v>1612</v>
      </c>
      <c r="C55" s="409" t="s">
        <v>1488</v>
      </c>
      <c r="D55" s="410" t="s">
        <v>1613</v>
      </c>
    </row>
    <row r="56" spans="2:5" x14ac:dyDescent="0.2">
      <c r="B56" s="409" t="s">
        <v>1487</v>
      </c>
      <c r="C56" s="409" t="s">
        <v>1488</v>
      </c>
      <c r="D56" s="410" t="s">
        <v>1489</v>
      </c>
      <c r="E56" s="407" t="s">
        <v>1490</v>
      </c>
    </row>
    <row r="57" spans="2:5" x14ac:dyDescent="0.2">
      <c r="B57" s="409" t="s">
        <v>1610</v>
      </c>
      <c r="C57" s="409" t="s">
        <v>1488</v>
      </c>
      <c r="D57" s="410" t="s">
        <v>1611</v>
      </c>
    </row>
    <row r="58" spans="2:5" x14ac:dyDescent="0.2">
      <c r="B58" s="409" t="s">
        <v>282</v>
      </c>
      <c r="C58" s="409" t="s">
        <v>1488</v>
      </c>
      <c r="D58" s="410" t="s">
        <v>1567</v>
      </c>
    </row>
    <row r="59" spans="2:5" x14ac:dyDescent="0.2">
      <c r="B59" s="407" t="s">
        <v>379</v>
      </c>
      <c r="C59" s="407" t="s">
        <v>397</v>
      </c>
      <c r="D59" s="408" t="s">
        <v>380</v>
      </c>
    </row>
    <row r="60" spans="2:5" x14ac:dyDescent="0.2">
      <c r="B60" s="407" t="s">
        <v>381</v>
      </c>
      <c r="C60" s="407" t="s">
        <v>397</v>
      </c>
      <c r="D60" s="408" t="s">
        <v>382</v>
      </c>
    </row>
    <row r="61" spans="2:5" x14ac:dyDescent="0.2">
      <c r="B61" s="407" t="s">
        <v>336</v>
      </c>
      <c r="C61" s="407" t="s">
        <v>397</v>
      </c>
      <c r="D61" s="408" t="s">
        <v>337</v>
      </c>
    </row>
    <row r="62" spans="2:5" x14ac:dyDescent="0.2">
      <c r="B62" s="407" t="s">
        <v>383</v>
      </c>
      <c r="C62" s="407" t="s">
        <v>397</v>
      </c>
      <c r="D62" s="408" t="s">
        <v>384</v>
      </c>
    </row>
    <row r="63" spans="2:5" x14ac:dyDescent="0.2">
      <c r="B63" s="407" t="s">
        <v>289</v>
      </c>
      <c r="C63" s="407" t="s">
        <v>397</v>
      </c>
      <c r="D63" s="408" t="s">
        <v>290</v>
      </c>
    </row>
    <row r="64" spans="2:5" x14ac:dyDescent="0.2">
      <c r="B64" s="407" t="s">
        <v>287</v>
      </c>
      <c r="C64" s="407" t="s">
        <v>397</v>
      </c>
      <c r="D64" s="408" t="s">
        <v>288</v>
      </c>
    </row>
    <row r="65" spans="2:4" x14ac:dyDescent="0.2">
      <c r="B65" s="407" t="s">
        <v>322</v>
      </c>
      <c r="C65" s="407" t="s">
        <v>397</v>
      </c>
    </row>
    <row r="66" spans="2:4" x14ac:dyDescent="0.2">
      <c r="B66" s="407" t="s">
        <v>1453</v>
      </c>
      <c r="C66" s="407" t="s">
        <v>1454</v>
      </c>
      <c r="D66" s="408" t="s">
        <v>347</v>
      </c>
    </row>
    <row r="67" spans="2:4" x14ac:dyDescent="0.2">
      <c r="B67" s="407" t="s">
        <v>1652</v>
      </c>
      <c r="C67" s="407" t="s">
        <v>385</v>
      </c>
      <c r="D67" s="408" t="s">
        <v>386</v>
      </c>
    </row>
    <row r="68" spans="2:4" x14ac:dyDescent="0.2">
      <c r="B68" s="407" t="s">
        <v>390</v>
      </c>
      <c r="C68" s="407" t="s">
        <v>390</v>
      </c>
      <c r="D68" s="408" t="s">
        <v>391</v>
      </c>
    </row>
    <row r="69" spans="2:4" x14ac:dyDescent="0.2">
      <c r="B69" s="407" t="s">
        <v>1440</v>
      </c>
      <c r="C69" s="407" t="s">
        <v>979</v>
      </c>
      <c r="D69" s="408" t="s">
        <v>1441</v>
      </c>
    </row>
    <row r="70" spans="2:4" x14ac:dyDescent="0.2">
      <c r="B70" s="407" t="s">
        <v>1451</v>
      </c>
      <c r="C70" s="407" t="s">
        <v>979</v>
      </c>
      <c r="D70" s="408" t="s">
        <v>1452</v>
      </c>
    </row>
    <row r="71" spans="2:4" x14ac:dyDescent="0.2">
      <c r="B71" s="407" t="s">
        <v>1449</v>
      </c>
      <c r="C71" s="407" t="s">
        <v>979</v>
      </c>
      <c r="D71" s="408" t="s">
        <v>1446</v>
      </c>
    </row>
    <row r="72" spans="2:4" x14ac:dyDescent="0.2">
      <c r="B72" s="407" t="s">
        <v>357</v>
      </c>
      <c r="C72" s="407" t="s">
        <v>979</v>
      </c>
      <c r="D72" s="408" t="s">
        <v>358</v>
      </c>
    </row>
    <row r="73" spans="2:4" x14ac:dyDescent="0.2">
      <c r="B73" s="407" t="s">
        <v>1437</v>
      </c>
      <c r="C73" s="407" t="s">
        <v>1438</v>
      </c>
      <c r="D73" s="408" t="s">
        <v>1439</v>
      </c>
    </row>
    <row r="74" spans="2:4" x14ac:dyDescent="0.2">
      <c r="B74" s="407" t="s">
        <v>488</v>
      </c>
      <c r="C74" s="407" t="s">
        <v>355</v>
      </c>
      <c r="D74" s="408" t="s">
        <v>356</v>
      </c>
    </row>
    <row r="75" spans="2:4" x14ac:dyDescent="0.2">
      <c r="B75" s="407" t="s">
        <v>898</v>
      </c>
      <c r="C75" s="407" t="s">
        <v>305</v>
      </c>
      <c r="D75" s="408" t="s">
        <v>306</v>
      </c>
    </row>
    <row r="76" spans="2:4" x14ac:dyDescent="0.2">
      <c r="B76" s="407" t="s">
        <v>814</v>
      </c>
      <c r="C76" s="407" t="s">
        <v>1570</v>
      </c>
      <c r="D76" s="408" t="s">
        <v>815</v>
      </c>
    </row>
  </sheetData>
  <phoneticPr fontId="28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Munka5">
    <pageSetUpPr fitToPage="1"/>
  </sheetPr>
  <dimension ref="A1:O144"/>
  <sheetViews>
    <sheetView topLeftCell="B4" workbookViewId="0">
      <selection activeCell="N24" sqref="N13:N24"/>
    </sheetView>
  </sheetViews>
  <sheetFormatPr defaultRowHeight="12.75" x14ac:dyDescent="0.2"/>
  <cols>
    <col min="1" max="1" width="2.85546875" customWidth="1"/>
    <col min="2" max="2" width="21.7109375" style="1" bestFit="1" customWidth="1"/>
    <col min="3" max="3" width="12.140625" style="22" bestFit="1" customWidth="1"/>
    <col min="4" max="4" width="12.5703125" style="22" bestFit="1" customWidth="1"/>
    <col min="5" max="5" width="7.85546875" style="1" bestFit="1" customWidth="1"/>
    <col min="6" max="6" width="14.42578125" style="1" bestFit="1" customWidth="1"/>
    <col min="7" max="7" width="12.140625" bestFit="1" customWidth="1"/>
    <col min="8" max="8" width="11.140625" bestFit="1" customWidth="1"/>
    <col min="9" max="9" width="17.140625" customWidth="1"/>
    <col min="10" max="10" width="11.5703125" customWidth="1"/>
    <col min="11" max="11" width="11" customWidth="1"/>
    <col min="14" max="14" width="12.7109375" customWidth="1"/>
  </cols>
  <sheetData>
    <row r="1" spans="2:15" ht="13.5" thickBot="1" x14ac:dyDescent="0.25">
      <c r="E1" s="22"/>
      <c r="F1" s="22"/>
      <c r="G1" s="1"/>
      <c r="H1" s="1"/>
    </row>
    <row r="2" spans="2:15" x14ac:dyDescent="0.2">
      <c r="B2" s="44" t="s">
        <v>1390</v>
      </c>
      <c r="C2" s="459"/>
      <c r="D2" s="459"/>
      <c r="E2" s="434"/>
      <c r="F2" s="459"/>
      <c r="G2" s="434"/>
      <c r="H2" s="64"/>
      <c r="I2" s="64"/>
      <c r="J2" s="325"/>
      <c r="K2" s="471">
        <f>SUM(K3:K7)</f>
        <v>53766</v>
      </c>
    </row>
    <row r="3" spans="2:15" x14ac:dyDescent="0.2">
      <c r="B3" s="460" t="s">
        <v>1386</v>
      </c>
      <c r="C3" s="461">
        <v>30</v>
      </c>
      <c r="D3" s="461">
        <v>50</v>
      </c>
      <c r="E3" s="42">
        <v>0</v>
      </c>
      <c r="F3" s="462">
        <v>6</v>
      </c>
      <c r="G3" s="463">
        <v>48</v>
      </c>
      <c r="H3" s="47">
        <f>C3*D3*F3/1000/1000</f>
        <v>8.9999999999999993E-3</v>
      </c>
      <c r="I3" s="47">
        <f>G3*H3</f>
        <v>0.43199999999999994</v>
      </c>
      <c r="J3" s="58">
        <v>58000</v>
      </c>
      <c r="K3" s="59">
        <f>J3*I3</f>
        <v>25055.999999999996</v>
      </c>
    </row>
    <row r="4" spans="2:15" x14ac:dyDescent="0.2">
      <c r="B4" s="460" t="s">
        <v>1385</v>
      </c>
      <c r="C4" s="461">
        <v>50</v>
      </c>
      <c r="D4" s="461">
        <v>50</v>
      </c>
      <c r="E4" s="42">
        <v>0</v>
      </c>
      <c r="F4" s="462">
        <v>4</v>
      </c>
      <c r="G4" s="463">
        <v>24</v>
      </c>
      <c r="H4" s="47">
        <f>C4*D4*F4/1000/1000</f>
        <v>0.01</v>
      </c>
      <c r="I4" s="47">
        <f>G4*H4</f>
        <v>0.24</v>
      </c>
      <c r="J4" s="58">
        <v>58000</v>
      </c>
      <c r="K4" s="59">
        <f>J4*I4</f>
        <v>13920</v>
      </c>
    </row>
    <row r="5" spans="2:15" x14ac:dyDescent="0.2">
      <c r="B5" s="460" t="s">
        <v>1389</v>
      </c>
      <c r="C5" s="461">
        <v>50</v>
      </c>
      <c r="D5" s="461">
        <v>100</v>
      </c>
      <c r="E5" s="42">
        <v>0</v>
      </c>
      <c r="F5" s="462">
        <v>5</v>
      </c>
      <c r="G5" s="463">
        <v>3</v>
      </c>
      <c r="H5" s="47">
        <f>C5*D5*F5/1000/1000</f>
        <v>2.5000000000000001E-2</v>
      </c>
      <c r="I5" s="47">
        <f>G5*H5</f>
        <v>7.5000000000000011E-2</v>
      </c>
      <c r="J5" s="58">
        <v>58000</v>
      </c>
      <c r="K5" s="59">
        <f>J5*I5</f>
        <v>4350.0000000000009</v>
      </c>
    </row>
    <row r="6" spans="2:15" x14ac:dyDescent="0.2">
      <c r="B6" s="460" t="s">
        <v>1387</v>
      </c>
      <c r="C6" s="461">
        <v>25</v>
      </c>
      <c r="D6" s="461">
        <v>100</v>
      </c>
      <c r="E6" s="42">
        <v>0</v>
      </c>
      <c r="F6" s="462">
        <v>6</v>
      </c>
      <c r="G6" s="463">
        <v>7</v>
      </c>
      <c r="H6" s="47">
        <f>C6*D6*F6/1000/1000</f>
        <v>1.4999999999999999E-2</v>
      </c>
      <c r="I6" s="47">
        <f>G6*H6</f>
        <v>0.105</v>
      </c>
      <c r="J6" s="58">
        <v>58000</v>
      </c>
      <c r="K6" s="59">
        <f>J6*I6</f>
        <v>6090</v>
      </c>
    </row>
    <row r="7" spans="2:15" ht="13.5" thickBot="1" x14ac:dyDescent="0.25">
      <c r="B7" s="464" t="s">
        <v>1388</v>
      </c>
      <c r="C7" s="465">
        <v>25</v>
      </c>
      <c r="D7" s="465">
        <v>150</v>
      </c>
      <c r="E7" s="115">
        <v>0</v>
      </c>
      <c r="F7" s="466">
        <v>5</v>
      </c>
      <c r="G7" s="467">
        <v>4</v>
      </c>
      <c r="H7" s="65">
        <f>C7*D7*F7/1000/1000</f>
        <v>1.8749999999999999E-2</v>
      </c>
      <c r="I7" s="65">
        <f>G7*H7</f>
        <v>7.4999999999999997E-2</v>
      </c>
      <c r="J7" s="61">
        <v>58000</v>
      </c>
      <c r="K7" s="62">
        <f>J7*I7</f>
        <v>4350</v>
      </c>
    </row>
    <row r="8" spans="2:15" x14ac:dyDescent="0.2">
      <c r="E8" s="22"/>
      <c r="F8" s="22"/>
      <c r="G8" s="1"/>
      <c r="H8" s="1"/>
    </row>
    <row r="9" spans="2:15" ht="13.5" thickBot="1" x14ac:dyDescent="0.25">
      <c r="E9" s="22"/>
      <c r="F9" s="22"/>
      <c r="G9" s="1"/>
      <c r="H9" s="1"/>
    </row>
    <row r="10" spans="2:15" ht="13.5" thickBot="1" x14ac:dyDescent="0.25">
      <c r="B10" s="6" t="s">
        <v>756</v>
      </c>
      <c r="C10" s="1122" t="s">
        <v>1692</v>
      </c>
      <c r="D10" s="1122"/>
      <c r="E10" s="1122" t="s">
        <v>1693</v>
      </c>
      <c r="F10" s="1122"/>
      <c r="G10" s="15"/>
      <c r="H10" s="15"/>
      <c r="I10" s="15"/>
      <c r="J10" s="15"/>
      <c r="K10" s="1122" t="s">
        <v>1692</v>
      </c>
      <c r="L10" s="1122"/>
      <c r="M10" s="332"/>
      <c r="N10" s="1122" t="s">
        <v>1693</v>
      </c>
      <c r="O10" s="1122"/>
    </row>
    <row r="11" spans="2:15" x14ac:dyDescent="0.2">
      <c r="B11" s="27" t="s">
        <v>738</v>
      </c>
      <c r="C11" s="28" t="s">
        <v>737</v>
      </c>
      <c r="D11" s="28" t="s">
        <v>618</v>
      </c>
      <c r="E11" s="28" t="s">
        <v>737</v>
      </c>
      <c r="F11" s="28" t="s">
        <v>618</v>
      </c>
      <c r="G11" s="27" t="s">
        <v>751</v>
      </c>
      <c r="H11" s="27"/>
      <c r="I11" s="27" t="s">
        <v>753</v>
      </c>
      <c r="J11" s="27" t="s">
        <v>755</v>
      </c>
      <c r="K11" s="27" t="s">
        <v>1690</v>
      </c>
      <c r="L11" s="27" t="s">
        <v>1691</v>
      </c>
      <c r="M11" s="27"/>
      <c r="N11" s="27" t="s">
        <v>1690</v>
      </c>
      <c r="O11" s="27" t="s">
        <v>1691</v>
      </c>
    </row>
    <row r="12" spans="2:15" x14ac:dyDescent="0.2">
      <c r="B12" s="27" t="s">
        <v>729</v>
      </c>
      <c r="C12" s="28">
        <v>281</v>
      </c>
      <c r="D12" s="28">
        <f>C12/6</f>
        <v>46.833333333333336</v>
      </c>
      <c r="E12" s="28"/>
      <c r="F12" s="28"/>
      <c r="G12" s="27">
        <v>0.3</v>
      </c>
      <c r="H12" s="27"/>
      <c r="I12" s="29"/>
      <c r="J12" s="29"/>
      <c r="K12" s="27"/>
      <c r="L12" s="27"/>
      <c r="M12" s="27"/>
      <c r="N12" s="27"/>
      <c r="O12" s="27"/>
    </row>
    <row r="13" spans="2:15" x14ac:dyDescent="0.2">
      <c r="B13" s="27" t="s">
        <v>730</v>
      </c>
      <c r="C13" s="28">
        <v>432</v>
      </c>
      <c r="D13" s="28">
        <f t="shared" ref="D13:D19" si="0">C13/6</f>
        <v>72</v>
      </c>
      <c r="E13" s="28">
        <v>340</v>
      </c>
      <c r="F13" s="28">
        <f>E13/6</f>
        <v>56.666666666666664</v>
      </c>
      <c r="G13" s="27">
        <v>0.4</v>
      </c>
      <c r="H13" s="27"/>
      <c r="I13" s="29">
        <v>2100</v>
      </c>
      <c r="J13" s="29">
        <f>I13*G13</f>
        <v>840</v>
      </c>
      <c r="K13" s="28">
        <f>D13*I13</f>
        <v>151200</v>
      </c>
      <c r="L13" s="28">
        <f>D13/G13</f>
        <v>180</v>
      </c>
      <c r="M13" s="27"/>
      <c r="N13" s="28">
        <f>F13*I13</f>
        <v>119000</v>
      </c>
      <c r="O13" s="28">
        <f>F13/G13</f>
        <v>141.66666666666666</v>
      </c>
    </row>
    <row r="14" spans="2:15" x14ac:dyDescent="0.2">
      <c r="B14" s="27" t="s">
        <v>731</v>
      </c>
      <c r="C14" s="28">
        <v>638</v>
      </c>
      <c r="D14" s="28">
        <f t="shared" si="0"/>
        <v>106.33333333333333</v>
      </c>
      <c r="E14" s="28"/>
      <c r="F14" s="28"/>
      <c r="G14" s="27">
        <v>0.63</v>
      </c>
      <c r="H14" s="27"/>
      <c r="I14" s="29"/>
      <c r="J14" s="29"/>
      <c r="K14" s="27"/>
      <c r="L14" s="27"/>
      <c r="M14" s="27"/>
      <c r="N14" s="27"/>
      <c r="O14" s="27"/>
    </row>
    <row r="15" spans="2:15" x14ac:dyDescent="0.2">
      <c r="B15" s="27" t="s">
        <v>732</v>
      </c>
      <c r="C15" s="28">
        <v>907</v>
      </c>
      <c r="D15" s="28">
        <f t="shared" si="0"/>
        <v>151.16666666666666</v>
      </c>
      <c r="E15" s="28">
        <v>683</v>
      </c>
      <c r="F15" s="28">
        <f>E15/6</f>
        <v>113.83333333333333</v>
      </c>
      <c r="G15" s="27">
        <v>0.9</v>
      </c>
      <c r="H15" s="27"/>
      <c r="I15" s="29">
        <v>600</v>
      </c>
      <c r="J15" s="29">
        <f>I15*G15</f>
        <v>540</v>
      </c>
      <c r="K15" s="28">
        <f>D15*I15</f>
        <v>90700</v>
      </c>
      <c r="L15" s="28">
        <f>D15/G15</f>
        <v>167.96296296296296</v>
      </c>
      <c r="M15" s="27"/>
      <c r="N15" s="28">
        <f>F15*I15</f>
        <v>68300</v>
      </c>
      <c r="O15" s="28">
        <f>F15/G15</f>
        <v>126.48148148148147</v>
      </c>
    </row>
    <row r="16" spans="2:15" x14ac:dyDescent="0.2">
      <c r="B16" s="27" t="s">
        <v>733</v>
      </c>
      <c r="C16" s="28">
        <v>1243</v>
      </c>
      <c r="D16" s="28">
        <f t="shared" si="0"/>
        <v>207.16666666666666</v>
      </c>
      <c r="E16" s="28"/>
      <c r="F16" s="28"/>
      <c r="G16" s="27">
        <v>1.2</v>
      </c>
      <c r="H16" s="27"/>
      <c r="I16" s="29"/>
      <c r="J16" s="29"/>
      <c r="K16" s="27"/>
      <c r="L16" s="27"/>
      <c r="M16" s="27"/>
      <c r="N16" s="27"/>
      <c r="O16" s="27"/>
    </row>
    <row r="17" spans="2:15" x14ac:dyDescent="0.2">
      <c r="B17" s="27" t="s">
        <v>734</v>
      </c>
      <c r="C17" s="28">
        <v>1613</v>
      </c>
      <c r="D17" s="28">
        <f t="shared" si="0"/>
        <v>268.83333333333331</v>
      </c>
      <c r="E17" s="28"/>
      <c r="F17" s="28"/>
      <c r="G17" s="27"/>
      <c r="H17" s="27"/>
      <c r="I17" s="29"/>
      <c r="J17" s="29"/>
      <c r="K17" s="27"/>
      <c r="L17" s="27"/>
      <c r="M17" s="27"/>
      <c r="N17" s="27"/>
      <c r="O17" s="27"/>
    </row>
    <row r="18" spans="2:15" x14ac:dyDescent="0.2">
      <c r="B18" s="27" t="s">
        <v>735</v>
      </c>
      <c r="C18" s="28">
        <v>2520</v>
      </c>
      <c r="D18" s="28">
        <f t="shared" si="0"/>
        <v>420</v>
      </c>
      <c r="E18" s="28"/>
      <c r="F18" s="28"/>
      <c r="G18" s="27"/>
      <c r="H18" s="27"/>
      <c r="I18" s="29"/>
      <c r="J18" s="29"/>
      <c r="K18" s="27"/>
      <c r="L18" s="27"/>
      <c r="M18" s="27"/>
      <c r="N18" s="27"/>
      <c r="O18" s="27"/>
    </row>
    <row r="19" spans="2:15" x14ac:dyDescent="0.2">
      <c r="B19" s="27" t="s">
        <v>736</v>
      </c>
      <c r="C19" s="28">
        <v>3914</v>
      </c>
      <c r="D19" s="28">
        <f t="shared" si="0"/>
        <v>652.33333333333337</v>
      </c>
      <c r="E19" s="28"/>
      <c r="F19" s="28"/>
      <c r="G19" s="27"/>
      <c r="H19" s="27"/>
      <c r="I19" s="29"/>
      <c r="J19" s="29"/>
      <c r="K19" s="27"/>
      <c r="L19" s="27"/>
      <c r="M19" s="27"/>
      <c r="N19" s="27"/>
      <c r="O19" s="27"/>
    </row>
    <row r="20" spans="2:15" x14ac:dyDescent="0.2">
      <c r="B20" s="27"/>
      <c r="C20" s="28"/>
      <c r="D20" s="28"/>
      <c r="E20" s="28"/>
      <c r="F20" s="28"/>
      <c r="G20" s="27"/>
      <c r="H20" s="27"/>
      <c r="I20" s="29"/>
      <c r="J20" s="29"/>
      <c r="K20" s="27"/>
      <c r="L20" s="27"/>
      <c r="M20" s="27"/>
      <c r="N20" s="27"/>
      <c r="O20" s="27"/>
    </row>
    <row r="21" spans="2:15" x14ac:dyDescent="0.2">
      <c r="B21" s="27" t="s">
        <v>739</v>
      </c>
      <c r="C21" s="28" t="s">
        <v>740</v>
      </c>
      <c r="D21" s="28" t="s">
        <v>611</v>
      </c>
      <c r="E21" s="28"/>
      <c r="F21" s="28"/>
      <c r="G21" s="27" t="s">
        <v>750</v>
      </c>
      <c r="H21" s="27" t="s">
        <v>752</v>
      </c>
      <c r="I21" s="27" t="s">
        <v>754</v>
      </c>
      <c r="J21" s="27" t="s">
        <v>755</v>
      </c>
      <c r="K21" s="27"/>
      <c r="L21" s="27"/>
      <c r="M21" s="27"/>
      <c r="N21" s="27"/>
      <c r="O21" s="27"/>
    </row>
    <row r="22" spans="2:15" x14ac:dyDescent="0.2">
      <c r="B22" s="27" t="s">
        <v>741</v>
      </c>
      <c r="C22" s="28">
        <v>3300</v>
      </c>
      <c r="D22" s="28">
        <f>C22/10</f>
        <v>330</v>
      </c>
      <c r="E22" s="28"/>
      <c r="F22" s="28"/>
      <c r="G22" s="27"/>
      <c r="H22" s="27"/>
      <c r="I22" s="29"/>
      <c r="J22" s="29"/>
      <c r="K22" s="27"/>
      <c r="L22" s="27"/>
      <c r="M22" s="27"/>
      <c r="N22" s="27"/>
      <c r="O22" s="27"/>
    </row>
    <row r="23" spans="2:15" x14ac:dyDescent="0.2">
      <c r="B23" s="27" t="s">
        <v>742</v>
      </c>
      <c r="C23" s="28">
        <v>4800</v>
      </c>
      <c r="D23" s="28">
        <f t="shared" ref="D23:D30" si="1">C23/10</f>
        <v>480</v>
      </c>
      <c r="E23" s="28"/>
      <c r="F23" s="28"/>
      <c r="G23" s="27">
        <v>3</v>
      </c>
      <c r="H23" s="27"/>
      <c r="I23" s="29"/>
      <c r="J23" s="29"/>
      <c r="K23" s="27"/>
      <c r="L23" s="27"/>
      <c r="M23" s="27"/>
      <c r="N23" s="27"/>
      <c r="O23" s="27"/>
    </row>
    <row r="24" spans="2:15" x14ac:dyDescent="0.2">
      <c r="B24" s="27" t="s">
        <v>743</v>
      </c>
      <c r="C24" s="28">
        <v>6425</v>
      </c>
      <c r="D24" s="28">
        <f t="shared" si="1"/>
        <v>642.5</v>
      </c>
      <c r="E24" s="28">
        <v>5654</v>
      </c>
      <c r="F24" s="28">
        <f>E24/10</f>
        <v>565.4</v>
      </c>
      <c r="G24" s="27">
        <f>140*G12/10</f>
        <v>4.2</v>
      </c>
      <c r="H24" s="27"/>
      <c r="I24" s="29">
        <v>180</v>
      </c>
      <c r="J24" s="29">
        <f>I24*G24</f>
        <v>756</v>
      </c>
      <c r="K24" s="28">
        <f>D24*I24</f>
        <v>115650</v>
      </c>
      <c r="L24" s="28">
        <f>D24/G24</f>
        <v>152.97619047619048</v>
      </c>
      <c r="M24" s="27"/>
      <c r="N24" s="28">
        <f>F24*I24</f>
        <v>101772</v>
      </c>
      <c r="O24" s="28">
        <f>F24/G24</f>
        <v>134.61904761904762</v>
      </c>
    </row>
    <row r="25" spans="2:15" x14ac:dyDescent="0.2">
      <c r="B25" s="27" t="s">
        <v>744</v>
      </c>
      <c r="C25" s="28">
        <v>12960</v>
      </c>
      <c r="D25" s="28">
        <f t="shared" si="1"/>
        <v>1296</v>
      </c>
      <c r="E25" s="28"/>
      <c r="F25" s="28"/>
      <c r="G25" s="27">
        <f>150*G13/10</f>
        <v>6</v>
      </c>
      <c r="H25" s="27"/>
      <c r="I25" s="29"/>
      <c r="J25" s="29"/>
      <c r="K25" s="27"/>
      <c r="L25" s="27"/>
      <c r="M25" s="27"/>
      <c r="N25" s="27"/>
      <c r="O25" s="27"/>
    </row>
    <row r="26" spans="2:15" x14ac:dyDescent="0.2">
      <c r="B26" s="27" t="s">
        <v>748</v>
      </c>
      <c r="C26" s="28">
        <v>19519</v>
      </c>
      <c r="D26" s="28">
        <f t="shared" si="1"/>
        <v>1951.9</v>
      </c>
      <c r="E26" s="28"/>
      <c r="F26" s="28"/>
      <c r="G26" s="27">
        <f>150*G14/10</f>
        <v>9.4499999999999993</v>
      </c>
      <c r="H26" s="27"/>
      <c r="I26" s="29"/>
      <c r="J26" s="29"/>
      <c r="K26" s="27"/>
      <c r="L26" s="27"/>
      <c r="M26" s="27"/>
      <c r="N26" s="27"/>
      <c r="O26" s="27"/>
    </row>
    <row r="27" spans="2:15" x14ac:dyDescent="0.2">
      <c r="B27" s="27"/>
      <c r="C27" s="28"/>
      <c r="D27" s="28"/>
      <c r="E27" s="28"/>
      <c r="F27" s="28"/>
      <c r="G27" s="27"/>
      <c r="H27" s="27"/>
      <c r="I27" s="29"/>
      <c r="J27" s="29"/>
      <c r="K27" s="27"/>
      <c r="L27" s="27"/>
      <c r="M27" s="27"/>
      <c r="N27" s="27"/>
      <c r="O27" s="27"/>
    </row>
    <row r="28" spans="2:15" x14ac:dyDescent="0.2">
      <c r="B28" s="27" t="s">
        <v>745</v>
      </c>
      <c r="C28" s="28">
        <v>7776</v>
      </c>
      <c r="D28" s="28">
        <f t="shared" si="1"/>
        <v>777.6</v>
      </c>
      <c r="E28" s="28"/>
      <c r="F28" s="28"/>
      <c r="G28" s="27"/>
      <c r="H28" s="27"/>
      <c r="I28" s="29"/>
      <c r="J28" s="29"/>
      <c r="K28" s="27"/>
      <c r="L28" s="27"/>
      <c r="M28" s="27"/>
      <c r="N28" s="27"/>
      <c r="O28" s="27"/>
    </row>
    <row r="29" spans="2:15" x14ac:dyDescent="0.2">
      <c r="B29" s="27" t="s">
        <v>746</v>
      </c>
      <c r="C29" s="28">
        <v>4104</v>
      </c>
      <c r="D29" s="28">
        <f t="shared" si="1"/>
        <v>410.4</v>
      </c>
      <c r="E29" s="28"/>
      <c r="F29" s="28"/>
      <c r="G29" s="27"/>
      <c r="H29" s="27"/>
      <c r="I29" s="29"/>
      <c r="J29" s="29"/>
      <c r="K29" s="27"/>
      <c r="L29" s="27"/>
      <c r="M29" s="27"/>
      <c r="N29" s="27"/>
      <c r="O29" s="27"/>
    </row>
    <row r="30" spans="2:15" x14ac:dyDescent="0.2">
      <c r="B30" s="27" t="s">
        <v>747</v>
      </c>
      <c r="C30" s="28">
        <v>9600</v>
      </c>
      <c r="D30" s="28">
        <f t="shared" si="1"/>
        <v>960</v>
      </c>
      <c r="E30" s="28"/>
      <c r="F30" s="28"/>
      <c r="G30" s="27"/>
      <c r="H30" s="27"/>
      <c r="I30" s="29"/>
      <c r="J30" s="29"/>
      <c r="K30" s="27"/>
      <c r="L30" s="27"/>
      <c r="M30" s="27"/>
      <c r="N30" s="27"/>
      <c r="O30" s="27"/>
    </row>
    <row r="31" spans="2:15" x14ac:dyDescent="0.2">
      <c r="B31" s="27" t="s">
        <v>1455</v>
      </c>
      <c r="C31" s="29"/>
      <c r="D31" s="28">
        <v>312</v>
      </c>
      <c r="E31" s="28"/>
      <c r="F31" s="28">
        <v>363</v>
      </c>
      <c r="G31" s="29"/>
      <c r="H31" s="29"/>
      <c r="I31" s="29">
        <v>100</v>
      </c>
      <c r="J31" s="29">
        <v>100</v>
      </c>
      <c r="K31" s="28">
        <f>D31*I31</f>
        <v>31200</v>
      </c>
      <c r="L31" s="28"/>
      <c r="M31" s="28"/>
      <c r="N31" s="28">
        <f>F31*I31</f>
        <v>36300</v>
      </c>
      <c r="O31" s="28"/>
    </row>
    <row r="32" spans="2:15" x14ac:dyDescent="0.2">
      <c r="K32" s="2">
        <f>SUM(K13:K31)</f>
        <v>388750</v>
      </c>
      <c r="N32" s="2">
        <f>SUM(N13:N31)</f>
        <v>325372</v>
      </c>
    </row>
    <row r="33" spans="2:11" ht="13.5" thickBot="1" x14ac:dyDescent="0.25"/>
    <row r="34" spans="2:11" ht="13.5" thickBot="1" x14ac:dyDescent="0.25">
      <c r="B34" s="6" t="s">
        <v>757</v>
      </c>
      <c r="C34" s="30"/>
      <c r="D34" s="30"/>
      <c r="E34" s="15"/>
      <c r="F34" s="15"/>
      <c r="G34" s="15"/>
      <c r="H34" s="15"/>
      <c r="I34" s="15"/>
      <c r="J34" s="15"/>
      <c r="K34" s="15"/>
    </row>
    <row r="35" spans="2:11" x14ac:dyDescent="0.2">
      <c r="C35" s="31"/>
      <c r="D35" s="31"/>
    </row>
    <row r="36" spans="2:11" x14ac:dyDescent="0.2">
      <c r="C36" s="31" t="s">
        <v>759</v>
      </c>
      <c r="D36" s="31" t="s">
        <v>175</v>
      </c>
      <c r="E36" s="22" t="s">
        <v>758</v>
      </c>
      <c r="F36" s="22" t="s">
        <v>764</v>
      </c>
      <c r="G36" s="1" t="s">
        <v>610</v>
      </c>
      <c r="H36" s="1" t="s">
        <v>761</v>
      </c>
      <c r="I36" s="1" t="s">
        <v>762</v>
      </c>
      <c r="J36" s="1" t="s">
        <v>763</v>
      </c>
      <c r="K36" s="1" t="s">
        <v>760</v>
      </c>
    </row>
    <row r="37" spans="2:11" x14ac:dyDescent="0.2">
      <c r="C37" s="31"/>
      <c r="D37" s="31"/>
      <c r="I37">
        <f>SUM(I39:I86)</f>
        <v>6.9717500000000001</v>
      </c>
      <c r="J37" s="2"/>
      <c r="K37" s="25">
        <f>SUM(K39:K99)</f>
        <v>412986.5</v>
      </c>
    </row>
    <row r="38" spans="2:11" x14ac:dyDescent="0.2">
      <c r="B38" s="23" t="s">
        <v>765</v>
      </c>
      <c r="C38" s="31"/>
      <c r="D38" s="31"/>
      <c r="I38" s="2"/>
      <c r="J38" s="2"/>
    </row>
    <row r="39" spans="2:11" x14ac:dyDescent="0.2">
      <c r="B39" s="1" t="s">
        <v>171</v>
      </c>
      <c r="C39" s="31">
        <v>75</v>
      </c>
      <c r="D39" s="31">
        <v>150</v>
      </c>
      <c r="E39" s="1">
        <v>0</v>
      </c>
      <c r="F39" s="81">
        <v>6</v>
      </c>
      <c r="G39" s="27">
        <v>11</v>
      </c>
      <c r="H39">
        <f>C39*D39*F39/1000/1000</f>
        <v>6.7500000000000004E-2</v>
      </c>
      <c r="I39">
        <f>G39*H39</f>
        <v>0.74250000000000005</v>
      </c>
      <c r="J39" s="2">
        <v>58000</v>
      </c>
      <c r="K39" s="2">
        <f>J39*I39</f>
        <v>43065</v>
      </c>
    </row>
    <row r="40" spans="2:11" x14ac:dyDescent="0.2">
      <c r="B40" s="1" t="s">
        <v>171</v>
      </c>
      <c r="C40" s="31">
        <v>75</v>
      </c>
      <c r="D40" s="31">
        <v>150</v>
      </c>
      <c r="E40" s="1">
        <v>0</v>
      </c>
      <c r="F40" s="81">
        <v>6</v>
      </c>
      <c r="G40" s="27">
        <v>4</v>
      </c>
      <c r="H40">
        <f>C40*D40*F40/1000/1000</f>
        <v>6.7500000000000004E-2</v>
      </c>
      <c r="I40">
        <f>G40*H40</f>
        <v>0.27</v>
      </c>
      <c r="J40" s="2">
        <v>58000</v>
      </c>
      <c r="K40" s="2">
        <f>J40*I40</f>
        <v>15660.000000000002</v>
      </c>
    </row>
    <row r="41" spans="2:11" x14ac:dyDescent="0.2">
      <c r="C41" s="31"/>
      <c r="D41" s="31"/>
      <c r="F41" s="81"/>
      <c r="G41" s="1"/>
      <c r="J41" s="2"/>
      <c r="K41" s="2"/>
    </row>
    <row r="42" spans="2:11" x14ac:dyDescent="0.2">
      <c r="B42" s="1" t="s">
        <v>171</v>
      </c>
      <c r="C42" s="31">
        <v>75</v>
      </c>
      <c r="D42" s="31">
        <v>150</v>
      </c>
      <c r="E42" s="1">
        <v>0</v>
      </c>
      <c r="F42" s="81">
        <v>6</v>
      </c>
      <c r="G42" s="27">
        <v>5</v>
      </c>
      <c r="H42">
        <f>C42*D42*F42/1000/1000</f>
        <v>6.7500000000000004E-2</v>
      </c>
      <c r="I42">
        <f>G42*H42</f>
        <v>0.33750000000000002</v>
      </c>
      <c r="J42" s="2">
        <v>58000</v>
      </c>
      <c r="K42" s="2">
        <f>J42*I42</f>
        <v>19575</v>
      </c>
    </row>
    <row r="43" spans="2:11" x14ac:dyDescent="0.2">
      <c r="C43" s="31"/>
      <c r="D43" s="31"/>
      <c r="F43" s="81"/>
      <c r="G43" s="1"/>
      <c r="J43" s="2"/>
      <c r="K43" s="2"/>
    </row>
    <row r="44" spans="2:11" x14ac:dyDescent="0.2">
      <c r="B44" s="1" t="s">
        <v>171</v>
      </c>
      <c r="C44" s="31">
        <v>75</v>
      </c>
      <c r="D44" s="31">
        <v>150</v>
      </c>
      <c r="E44" s="1">
        <v>0</v>
      </c>
      <c r="F44" s="81">
        <v>6</v>
      </c>
      <c r="G44" s="27">
        <v>4</v>
      </c>
      <c r="H44">
        <f>C44*D44*F44/1000/1000</f>
        <v>6.7500000000000004E-2</v>
      </c>
      <c r="I44">
        <f>G44*H44</f>
        <v>0.27</v>
      </c>
      <c r="J44" s="2">
        <v>58000</v>
      </c>
      <c r="K44" s="2">
        <f>J44*I44</f>
        <v>15660.000000000002</v>
      </c>
    </row>
    <row r="45" spans="2:11" x14ac:dyDescent="0.2">
      <c r="B45" s="1" t="s">
        <v>171</v>
      </c>
      <c r="C45" s="31">
        <v>75</v>
      </c>
      <c r="D45" s="31">
        <v>150</v>
      </c>
      <c r="E45" s="1">
        <v>0</v>
      </c>
      <c r="F45" s="81">
        <v>5</v>
      </c>
      <c r="G45" s="393">
        <v>3</v>
      </c>
      <c r="H45">
        <f>C45*D45*F45/1000/1000</f>
        <v>5.6250000000000001E-2</v>
      </c>
      <c r="I45">
        <f>G45*H45</f>
        <v>0.16875000000000001</v>
      </c>
      <c r="J45" s="2">
        <v>58000</v>
      </c>
      <c r="K45" s="2">
        <f>J45*I45</f>
        <v>9787.5</v>
      </c>
    </row>
    <row r="46" spans="2:11" x14ac:dyDescent="0.2">
      <c r="C46" s="31"/>
      <c r="D46" s="31"/>
      <c r="F46" s="81"/>
      <c r="G46" s="1"/>
      <c r="J46" s="2"/>
      <c r="K46" s="2"/>
    </row>
    <row r="47" spans="2:11" x14ac:dyDescent="0.2">
      <c r="B47" s="1" t="s">
        <v>171</v>
      </c>
      <c r="C47" s="31">
        <v>75</v>
      </c>
      <c r="D47" s="31">
        <v>150</v>
      </c>
      <c r="E47" s="1">
        <v>0</v>
      </c>
      <c r="F47" s="81">
        <v>5</v>
      </c>
      <c r="G47" s="393">
        <v>2</v>
      </c>
      <c r="H47">
        <f>C47*D47*F47/1000/1000</f>
        <v>5.6250000000000001E-2</v>
      </c>
      <c r="I47">
        <f>G47*H47</f>
        <v>0.1125</v>
      </c>
      <c r="J47" s="2">
        <v>58000</v>
      </c>
      <c r="K47" s="2">
        <f>J47*I47</f>
        <v>6525</v>
      </c>
    </row>
    <row r="48" spans="2:11" x14ac:dyDescent="0.2">
      <c r="B48" s="1" t="s">
        <v>171</v>
      </c>
      <c r="C48" s="31">
        <v>75</v>
      </c>
      <c r="D48" s="31">
        <v>150</v>
      </c>
      <c r="E48" s="1">
        <v>0</v>
      </c>
      <c r="F48" s="81">
        <v>4</v>
      </c>
      <c r="G48" s="394">
        <v>1</v>
      </c>
      <c r="H48">
        <f>C48*D48*F48/1000/1000</f>
        <v>4.4999999999999998E-2</v>
      </c>
      <c r="I48">
        <f>G48*H48</f>
        <v>4.4999999999999998E-2</v>
      </c>
      <c r="J48" s="2">
        <v>58000</v>
      </c>
      <c r="K48" s="2">
        <f>J48*I48</f>
        <v>2610</v>
      </c>
    </row>
    <row r="49" spans="2:11" x14ac:dyDescent="0.2">
      <c r="C49" s="31"/>
      <c r="D49" s="31"/>
      <c r="F49" s="81"/>
      <c r="G49" s="1"/>
      <c r="J49" s="2"/>
      <c r="K49" s="2"/>
    </row>
    <row r="50" spans="2:11" x14ac:dyDescent="0.2">
      <c r="B50" s="1" t="s">
        <v>171</v>
      </c>
      <c r="C50" s="31">
        <v>75</v>
      </c>
      <c r="D50" s="31">
        <v>150</v>
      </c>
      <c r="E50" s="1">
        <v>0</v>
      </c>
      <c r="F50" s="81">
        <v>6</v>
      </c>
      <c r="G50" s="27">
        <v>3</v>
      </c>
      <c r="H50">
        <f>C50*D50*F50/1000/1000</f>
        <v>6.7500000000000004E-2</v>
      </c>
      <c r="I50">
        <f>G50*H50</f>
        <v>0.20250000000000001</v>
      </c>
      <c r="J50" s="2">
        <v>58000</v>
      </c>
      <c r="K50" s="2">
        <f>J50*I50</f>
        <v>11745</v>
      </c>
    </row>
    <row r="51" spans="2:11" x14ac:dyDescent="0.2">
      <c r="C51" s="31"/>
      <c r="D51" s="31"/>
      <c r="F51" s="81"/>
      <c r="G51" s="1"/>
      <c r="J51" s="2"/>
      <c r="K51" s="2"/>
    </row>
    <row r="52" spans="2:11" x14ac:dyDescent="0.2">
      <c r="B52" s="1" t="s">
        <v>171</v>
      </c>
      <c r="C52" s="31">
        <v>75</v>
      </c>
      <c r="D52" s="31">
        <v>150</v>
      </c>
      <c r="E52" s="1">
        <v>0</v>
      </c>
      <c r="F52" s="81">
        <v>5</v>
      </c>
      <c r="G52" s="393">
        <v>2</v>
      </c>
      <c r="H52">
        <f>C52*D52*F52/1000/1000</f>
        <v>5.6250000000000001E-2</v>
      </c>
      <c r="I52">
        <f>G52*H52</f>
        <v>0.1125</v>
      </c>
      <c r="J52" s="2">
        <v>58000</v>
      </c>
      <c r="K52" s="2">
        <f>J52*I52</f>
        <v>6525</v>
      </c>
    </row>
    <row r="53" spans="2:11" x14ac:dyDescent="0.2">
      <c r="B53" s="1" t="s">
        <v>171</v>
      </c>
      <c r="C53" s="31">
        <v>75</v>
      </c>
      <c r="D53" s="31">
        <v>150</v>
      </c>
      <c r="E53" s="1">
        <v>0</v>
      </c>
      <c r="F53" s="81">
        <v>4</v>
      </c>
      <c r="G53" s="394">
        <v>1</v>
      </c>
      <c r="H53">
        <f>C53*D53*F53/1000/1000</f>
        <v>4.4999999999999998E-2</v>
      </c>
      <c r="I53">
        <f>G53*H53</f>
        <v>4.4999999999999998E-2</v>
      </c>
      <c r="J53" s="2">
        <v>58000</v>
      </c>
      <c r="K53" s="2">
        <f>J53*I53</f>
        <v>2610</v>
      </c>
    </row>
    <row r="54" spans="2:11" x14ac:dyDescent="0.2">
      <c r="C54" s="31"/>
      <c r="D54" s="31"/>
      <c r="F54" s="81"/>
      <c r="G54" s="1"/>
      <c r="J54" s="2"/>
      <c r="K54" s="2"/>
    </row>
    <row r="55" spans="2:11" x14ac:dyDescent="0.2">
      <c r="B55" s="1" t="s">
        <v>171</v>
      </c>
      <c r="C55" s="31">
        <v>75</v>
      </c>
      <c r="D55" s="31">
        <v>150</v>
      </c>
      <c r="E55" s="1">
        <v>0</v>
      </c>
      <c r="F55" s="81">
        <v>5</v>
      </c>
      <c r="G55" s="393">
        <v>1</v>
      </c>
      <c r="H55">
        <f>C55*D55*F55/1000/1000</f>
        <v>5.6250000000000001E-2</v>
      </c>
      <c r="I55">
        <f>G55*H55</f>
        <v>5.6250000000000001E-2</v>
      </c>
      <c r="J55" s="2">
        <v>58000</v>
      </c>
      <c r="K55" s="2">
        <f>J55*I55</f>
        <v>3262.5</v>
      </c>
    </row>
    <row r="56" spans="2:11" x14ac:dyDescent="0.2">
      <c r="B56" s="1" t="s">
        <v>171</v>
      </c>
      <c r="C56" s="31">
        <v>75</v>
      </c>
      <c r="D56" s="31">
        <v>150</v>
      </c>
      <c r="E56" s="1">
        <v>0</v>
      </c>
      <c r="F56" s="81">
        <v>4</v>
      </c>
      <c r="G56" s="394">
        <v>8</v>
      </c>
      <c r="H56">
        <f>C56*D56*F56/1000/1000</f>
        <v>4.4999999999999998E-2</v>
      </c>
      <c r="I56">
        <f>G56*H56</f>
        <v>0.36</v>
      </c>
      <c r="J56" s="2">
        <v>58000</v>
      </c>
      <c r="K56" s="2">
        <f>J56*I56</f>
        <v>20880</v>
      </c>
    </row>
    <row r="57" spans="2:11" x14ac:dyDescent="0.2">
      <c r="C57" s="31"/>
      <c r="D57" s="31"/>
      <c r="F57" s="81"/>
      <c r="G57" s="1"/>
      <c r="J57" s="2"/>
      <c r="K57" s="2"/>
    </row>
    <row r="58" spans="2:11" x14ac:dyDescent="0.2">
      <c r="B58" s="1" t="s">
        <v>171</v>
      </c>
      <c r="C58" s="31">
        <v>75</v>
      </c>
      <c r="D58" s="31">
        <v>150</v>
      </c>
      <c r="E58" s="1">
        <v>0</v>
      </c>
      <c r="F58" s="81">
        <v>5</v>
      </c>
      <c r="G58" s="393">
        <v>3</v>
      </c>
      <c r="H58">
        <f>C58*D58*F58/1000/1000</f>
        <v>5.6250000000000001E-2</v>
      </c>
      <c r="I58">
        <f>G58*H58</f>
        <v>0.16875000000000001</v>
      </c>
      <c r="J58" s="2">
        <v>58000</v>
      </c>
      <c r="K58" s="2">
        <f>J58*I58</f>
        <v>9787.5</v>
      </c>
    </row>
    <row r="59" spans="2:11" x14ac:dyDescent="0.2">
      <c r="B59" s="1" t="s">
        <v>171</v>
      </c>
      <c r="C59" s="31">
        <v>75</v>
      </c>
      <c r="D59" s="31">
        <v>150</v>
      </c>
      <c r="E59" s="1">
        <v>0</v>
      </c>
      <c r="F59" s="81">
        <v>4</v>
      </c>
      <c r="G59" s="394">
        <v>1</v>
      </c>
      <c r="H59">
        <f>C59*D59*F59/1000/1000</f>
        <v>4.4999999999999998E-2</v>
      </c>
      <c r="I59">
        <f>G59*H59</f>
        <v>4.4999999999999998E-2</v>
      </c>
      <c r="J59" s="2">
        <v>58000</v>
      </c>
      <c r="K59" s="2">
        <f>J59*I59</f>
        <v>2610</v>
      </c>
    </row>
    <row r="60" spans="2:11" x14ac:dyDescent="0.2">
      <c r="C60" s="31"/>
      <c r="D60" s="31"/>
      <c r="F60" s="81"/>
      <c r="G60" s="1"/>
      <c r="J60" s="2"/>
      <c r="K60" s="2"/>
    </row>
    <row r="61" spans="2:11" x14ac:dyDescent="0.2">
      <c r="B61" s="1" t="s">
        <v>171</v>
      </c>
      <c r="C61" s="31">
        <v>75</v>
      </c>
      <c r="D61" s="31">
        <v>150</v>
      </c>
      <c r="E61" s="1">
        <v>0</v>
      </c>
      <c r="F61" s="81">
        <v>6</v>
      </c>
      <c r="G61" s="27">
        <v>2</v>
      </c>
      <c r="H61">
        <f>C61*D61*F61/1000/1000</f>
        <v>6.7500000000000004E-2</v>
      </c>
      <c r="I61">
        <f>G61*H61</f>
        <v>0.13500000000000001</v>
      </c>
      <c r="J61" s="2">
        <v>58000</v>
      </c>
      <c r="K61" s="2">
        <f>J61*I61</f>
        <v>7830.0000000000009</v>
      </c>
    </row>
    <row r="62" spans="2:11" x14ac:dyDescent="0.2">
      <c r="B62" s="1" t="s">
        <v>171</v>
      </c>
      <c r="C62" s="31">
        <v>75</v>
      </c>
      <c r="D62" s="31">
        <v>150</v>
      </c>
      <c r="E62" s="1">
        <v>0</v>
      </c>
      <c r="F62" s="81">
        <v>4</v>
      </c>
      <c r="G62" s="394">
        <v>1</v>
      </c>
      <c r="H62">
        <f>C62*D62*F62/1000/1000</f>
        <v>4.4999999999999998E-2</v>
      </c>
      <c r="I62">
        <f>G62*H62</f>
        <v>4.4999999999999998E-2</v>
      </c>
      <c r="J62" s="2">
        <v>58000</v>
      </c>
      <c r="K62" s="2">
        <f>J62*I62</f>
        <v>2610</v>
      </c>
    </row>
    <row r="63" spans="2:11" x14ac:dyDescent="0.2">
      <c r="C63" s="31"/>
      <c r="D63" s="31"/>
      <c r="F63" s="81"/>
      <c r="G63" s="1"/>
      <c r="J63" s="2"/>
      <c r="K63" s="2"/>
    </row>
    <row r="64" spans="2:11" x14ac:dyDescent="0.2">
      <c r="B64" s="1" t="s">
        <v>171</v>
      </c>
      <c r="C64" s="31">
        <v>75</v>
      </c>
      <c r="D64" s="31">
        <v>150</v>
      </c>
      <c r="E64" s="1">
        <v>0</v>
      </c>
      <c r="F64" s="81">
        <v>6</v>
      </c>
      <c r="G64" s="27">
        <v>2</v>
      </c>
      <c r="H64">
        <f>C64*D64*F64/1000/1000</f>
        <v>6.7500000000000004E-2</v>
      </c>
      <c r="I64">
        <f>G64*H64</f>
        <v>0.13500000000000001</v>
      </c>
      <c r="J64" s="2">
        <v>58000</v>
      </c>
      <c r="K64" s="2">
        <f>J64*I64</f>
        <v>7830.0000000000009</v>
      </c>
    </row>
    <row r="65" spans="2:11" x14ac:dyDescent="0.2">
      <c r="B65" s="1" t="s">
        <v>171</v>
      </c>
      <c r="C65" s="31">
        <v>75</v>
      </c>
      <c r="D65" s="31">
        <v>150</v>
      </c>
      <c r="E65" s="1">
        <v>0</v>
      </c>
      <c r="F65" s="81">
        <v>4</v>
      </c>
      <c r="G65" s="394">
        <v>1</v>
      </c>
      <c r="H65">
        <f>C65*D65*F65/1000/1000</f>
        <v>4.4999999999999998E-2</v>
      </c>
      <c r="I65">
        <f>G65*H65</f>
        <v>4.4999999999999998E-2</v>
      </c>
      <c r="J65" s="2">
        <v>58000</v>
      </c>
      <c r="K65" s="2">
        <f>J65*I65</f>
        <v>2610</v>
      </c>
    </row>
    <row r="66" spans="2:11" x14ac:dyDescent="0.2">
      <c r="C66" s="31"/>
      <c r="D66" s="31"/>
      <c r="F66" s="81"/>
      <c r="G66" s="31"/>
      <c r="J66" s="2"/>
      <c r="K66" s="2"/>
    </row>
    <row r="67" spans="2:11" x14ac:dyDescent="0.2">
      <c r="B67" s="1" t="s">
        <v>181</v>
      </c>
      <c r="C67" s="31">
        <v>75</v>
      </c>
      <c r="D67" s="31">
        <v>150</v>
      </c>
      <c r="E67" s="1">
        <v>5.21</v>
      </c>
      <c r="F67" s="81">
        <v>6</v>
      </c>
      <c r="G67" s="27">
        <v>2</v>
      </c>
      <c r="H67">
        <f>C67*D67*F67/1000/1000</f>
        <v>6.7500000000000004E-2</v>
      </c>
      <c r="I67">
        <f>G67*H67</f>
        <v>0.13500000000000001</v>
      </c>
      <c r="J67" s="2">
        <v>68000</v>
      </c>
      <c r="K67" s="2">
        <f>J67*I67</f>
        <v>9180</v>
      </c>
    </row>
    <row r="68" spans="2:11" x14ac:dyDescent="0.2">
      <c r="B68" s="1" t="s">
        <v>181</v>
      </c>
      <c r="C68" s="31">
        <v>75</v>
      </c>
      <c r="D68" s="31">
        <v>150</v>
      </c>
      <c r="E68" s="1">
        <v>6.7</v>
      </c>
      <c r="F68" s="81">
        <v>7</v>
      </c>
      <c r="G68" s="395">
        <v>2</v>
      </c>
      <c r="H68">
        <f>C68*D68*F68/1000/1000</f>
        <v>7.8750000000000001E-2</v>
      </c>
      <c r="I68">
        <f>G68*H68</f>
        <v>0.1575</v>
      </c>
      <c r="J68" s="2">
        <v>68000</v>
      </c>
      <c r="K68" s="2">
        <f>J68*I68</f>
        <v>10710</v>
      </c>
    </row>
    <row r="69" spans="2:11" x14ac:dyDescent="0.2">
      <c r="B69" s="1" t="s">
        <v>181</v>
      </c>
      <c r="C69" s="31">
        <v>75</v>
      </c>
      <c r="D69" s="31">
        <v>150</v>
      </c>
      <c r="E69" s="1">
        <v>7.15</v>
      </c>
      <c r="F69" s="81">
        <v>8</v>
      </c>
      <c r="G69" s="395">
        <v>3</v>
      </c>
      <c r="H69">
        <f>C69*D69*F69/1000/1000</f>
        <v>0.09</v>
      </c>
      <c r="I69">
        <f>G69*H69</f>
        <v>0.27</v>
      </c>
      <c r="J69" s="2">
        <v>68000</v>
      </c>
      <c r="K69" s="2">
        <f>J69*I69</f>
        <v>18360</v>
      </c>
    </row>
    <row r="70" spans="2:11" x14ac:dyDescent="0.2">
      <c r="C70" s="31"/>
      <c r="D70" s="31"/>
      <c r="F70" s="81"/>
      <c r="G70" s="1"/>
      <c r="J70" s="2"/>
      <c r="K70" s="2"/>
    </row>
    <row r="71" spans="2:11" x14ac:dyDescent="0.2">
      <c r="B71" s="1" t="s">
        <v>178</v>
      </c>
      <c r="C71" s="31">
        <v>100</v>
      </c>
      <c r="D71" s="31">
        <v>150</v>
      </c>
      <c r="E71" s="1">
        <v>5.21</v>
      </c>
      <c r="F71" s="81">
        <v>6</v>
      </c>
      <c r="G71" s="1">
        <v>1</v>
      </c>
      <c r="H71">
        <f>C71*D71*F71/1000/1000</f>
        <v>0.09</v>
      </c>
      <c r="I71">
        <f>G71*H71</f>
        <v>0.09</v>
      </c>
      <c r="J71" s="2">
        <v>68000</v>
      </c>
      <c r="K71" s="2">
        <f>J71*I71</f>
        <v>6120</v>
      </c>
    </row>
    <row r="72" spans="2:11" x14ac:dyDescent="0.2">
      <c r="B72" s="1" t="s">
        <v>178</v>
      </c>
      <c r="C72" s="31">
        <v>100</v>
      </c>
      <c r="D72" s="31">
        <v>150</v>
      </c>
      <c r="E72" s="1">
        <v>6.7</v>
      </c>
      <c r="F72" s="81">
        <v>7</v>
      </c>
      <c r="G72" s="1">
        <v>2</v>
      </c>
      <c r="H72">
        <f>C72*D72*F72/1000/1000</f>
        <v>0.105</v>
      </c>
      <c r="I72">
        <f>G72*H72</f>
        <v>0.21</v>
      </c>
      <c r="J72" s="2">
        <v>68000</v>
      </c>
      <c r="K72" s="2">
        <f>J72*I72</f>
        <v>14280</v>
      </c>
    </row>
    <row r="73" spans="2:11" x14ac:dyDescent="0.2">
      <c r="C73" s="31"/>
      <c r="D73" s="31"/>
      <c r="F73" s="81"/>
      <c r="G73" s="1"/>
      <c r="J73" s="2"/>
      <c r="K73" s="2"/>
    </row>
    <row r="74" spans="2:11" x14ac:dyDescent="0.2">
      <c r="C74" s="31"/>
      <c r="D74" s="31"/>
      <c r="F74" s="81"/>
      <c r="G74" s="1"/>
      <c r="J74" s="2"/>
      <c r="K74" s="2"/>
    </row>
    <row r="75" spans="2:11" x14ac:dyDescent="0.2">
      <c r="C75" s="31"/>
      <c r="D75" s="31"/>
      <c r="F75" s="81"/>
      <c r="G75" s="1"/>
      <c r="J75" s="2"/>
      <c r="K75" s="2"/>
    </row>
    <row r="76" spans="2:11" x14ac:dyDescent="0.2">
      <c r="B76" s="1" t="s">
        <v>172</v>
      </c>
      <c r="C76" s="31">
        <v>120</v>
      </c>
      <c r="D76" s="31">
        <v>120</v>
      </c>
      <c r="E76" s="1">
        <v>1.61</v>
      </c>
      <c r="F76" s="81">
        <v>5</v>
      </c>
      <c r="G76" s="1">
        <v>5</v>
      </c>
      <c r="H76">
        <f>C76*D76*F76/1000/1000</f>
        <v>7.1999999999999995E-2</v>
      </c>
      <c r="I76">
        <f>G76*H76</f>
        <v>0.36</v>
      </c>
      <c r="J76" s="2">
        <v>58000</v>
      </c>
      <c r="K76" s="2">
        <f>J76*I76</f>
        <v>20880</v>
      </c>
    </row>
    <row r="77" spans="2:11" x14ac:dyDescent="0.2">
      <c r="B77" s="1" t="s">
        <v>174</v>
      </c>
      <c r="C77" s="31">
        <v>120</v>
      </c>
      <c r="D77" s="31">
        <v>120</v>
      </c>
      <c r="E77" s="1">
        <v>45</v>
      </c>
      <c r="F77" s="81">
        <v>45</v>
      </c>
      <c r="G77" s="1">
        <v>1</v>
      </c>
      <c r="H77">
        <f>C77*D77*F77/1000/1000</f>
        <v>0.64800000000000002</v>
      </c>
      <c r="I77">
        <f>G77*H77</f>
        <v>0.64800000000000002</v>
      </c>
      <c r="J77" s="2">
        <v>58000</v>
      </c>
      <c r="K77" s="2">
        <f>J77*I77</f>
        <v>37584</v>
      </c>
    </row>
    <row r="78" spans="2:11" x14ac:dyDescent="0.2">
      <c r="C78" s="31"/>
      <c r="D78" s="31"/>
      <c r="F78" s="81"/>
      <c r="G78" s="1"/>
      <c r="J78" s="2"/>
      <c r="K78" s="2"/>
    </row>
    <row r="79" spans="2:11" x14ac:dyDescent="0.2">
      <c r="B79" s="1" t="s">
        <v>176</v>
      </c>
      <c r="C79" s="31">
        <v>50</v>
      </c>
      <c r="D79" s="31">
        <v>150</v>
      </c>
      <c r="E79" s="1">
        <v>1.5</v>
      </c>
      <c r="F79" s="81">
        <v>1.5</v>
      </c>
      <c r="G79" s="1">
        <v>36</v>
      </c>
      <c r="H79">
        <f>C79*D79*F79/1000/1000</f>
        <v>1.125E-2</v>
      </c>
      <c r="I79">
        <f>G79*H79</f>
        <v>0.40499999999999997</v>
      </c>
      <c r="J79" s="2">
        <v>58000</v>
      </c>
      <c r="K79" s="2">
        <f>J79*I79</f>
        <v>23490</v>
      </c>
    </row>
    <row r="80" spans="2:11" x14ac:dyDescent="0.2">
      <c r="B80" s="1" t="s">
        <v>177</v>
      </c>
      <c r="C80" s="31">
        <v>50</v>
      </c>
      <c r="D80" s="31">
        <v>150</v>
      </c>
      <c r="E80" s="1">
        <v>4</v>
      </c>
      <c r="F80" s="81">
        <v>4</v>
      </c>
      <c r="G80" s="1">
        <v>16</v>
      </c>
      <c r="H80">
        <f>C80*D80*F80/1000/1000</f>
        <v>0.03</v>
      </c>
      <c r="I80">
        <f>G80*H80</f>
        <v>0.48</v>
      </c>
      <c r="J80" s="2">
        <v>58000</v>
      </c>
      <c r="K80" s="2">
        <f>J80*I80</f>
        <v>27840</v>
      </c>
    </row>
    <row r="81" spans="2:11" x14ac:dyDescent="0.2">
      <c r="B81" s="1" t="s">
        <v>184</v>
      </c>
      <c r="C81" s="31">
        <v>50</v>
      </c>
      <c r="D81" s="31">
        <v>150</v>
      </c>
      <c r="E81" s="1">
        <v>1</v>
      </c>
      <c r="F81" s="81">
        <v>1</v>
      </c>
      <c r="G81" s="1">
        <v>18</v>
      </c>
      <c r="H81">
        <f>C81*D81*F81/1000/1000</f>
        <v>7.4999999999999997E-3</v>
      </c>
      <c r="I81">
        <f>G81*H81</f>
        <v>0.13500000000000001</v>
      </c>
      <c r="J81" s="2">
        <v>58000</v>
      </c>
      <c r="K81" s="2">
        <f>J81*I81</f>
        <v>7830.0000000000009</v>
      </c>
    </row>
    <row r="82" spans="2:11" x14ac:dyDescent="0.2">
      <c r="C82" s="31"/>
      <c r="D82" s="31"/>
      <c r="F82" s="81"/>
      <c r="G82" s="1"/>
      <c r="J82" s="2"/>
      <c r="K82" s="2"/>
    </row>
    <row r="83" spans="2:11" x14ac:dyDescent="0.2">
      <c r="B83" s="1" t="s">
        <v>182</v>
      </c>
      <c r="C83" s="31">
        <v>50</v>
      </c>
      <c r="D83" s="31">
        <v>100</v>
      </c>
      <c r="E83" s="1">
        <v>1.8</v>
      </c>
      <c r="F83" s="81">
        <v>2</v>
      </c>
      <c r="G83" s="1">
        <v>66</v>
      </c>
      <c r="H83">
        <f>C83*D83*F83/1000/1000</f>
        <v>0.01</v>
      </c>
      <c r="I83">
        <f>G83*H83</f>
        <v>0.66</v>
      </c>
      <c r="J83" s="2">
        <v>58000</v>
      </c>
      <c r="K83" s="2">
        <f>J83*I83</f>
        <v>38280</v>
      </c>
    </row>
    <row r="84" spans="2:11" x14ac:dyDescent="0.2">
      <c r="B84" s="1" t="s">
        <v>183</v>
      </c>
      <c r="C84" s="31">
        <v>50</v>
      </c>
      <c r="D84" s="31">
        <v>100</v>
      </c>
      <c r="E84" s="1">
        <v>2.5</v>
      </c>
      <c r="F84" s="81">
        <v>2.5</v>
      </c>
      <c r="G84" s="1">
        <v>10</v>
      </c>
      <c r="H84">
        <f>C84*D84*F84/1000/1000</f>
        <v>1.2500000000000001E-2</v>
      </c>
      <c r="I84">
        <f>G84*H84</f>
        <v>0.125</v>
      </c>
      <c r="J84" s="2">
        <v>58000</v>
      </c>
      <c r="K84" s="2">
        <f>J84*I84</f>
        <v>7250</v>
      </c>
    </row>
    <row r="85" spans="2:11" x14ac:dyDescent="0.2">
      <c r="B85" s="23"/>
      <c r="C85" s="31"/>
      <c r="D85" s="31"/>
      <c r="I85" s="2"/>
      <c r="J85" s="2"/>
    </row>
    <row r="93" spans="2:11" x14ac:dyDescent="0.2">
      <c r="B93" s="23"/>
      <c r="C93" s="31"/>
      <c r="D93" s="31"/>
    </row>
    <row r="94" spans="2:11" x14ac:dyDescent="0.2">
      <c r="C94" s="31"/>
      <c r="D94" s="31"/>
      <c r="F94" s="31"/>
      <c r="G94" s="1"/>
      <c r="J94" s="2"/>
      <c r="K94" s="2"/>
    </row>
    <row r="95" spans="2:11" x14ac:dyDescent="0.2">
      <c r="C95" s="31"/>
      <c r="D95" s="31"/>
      <c r="F95" s="31"/>
      <c r="G95" s="1"/>
      <c r="J95" s="2"/>
      <c r="K95" s="2"/>
    </row>
    <row r="97" spans="1:11" x14ac:dyDescent="0.2">
      <c r="C97" s="31"/>
      <c r="D97" s="31"/>
      <c r="F97" s="31"/>
      <c r="G97" s="1"/>
      <c r="J97" s="2"/>
      <c r="K97" s="2"/>
    </row>
    <row r="98" spans="1:11" x14ac:dyDescent="0.2">
      <c r="C98" s="31"/>
      <c r="D98" s="31"/>
      <c r="F98" s="31"/>
      <c r="G98" s="1"/>
      <c r="J98" s="2"/>
      <c r="K98" s="2"/>
    </row>
    <row r="99" spans="1:11" x14ac:dyDescent="0.2">
      <c r="C99" s="31"/>
      <c r="D99" s="31"/>
      <c r="F99" s="31"/>
      <c r="G99" s="1"/>
      <c r="J99" s="2"/>
      <c r="K99" s="2"/>
    </row>
    <row r="103" spans="1:11" x14ac:dyDescent="0.2">
      <c r="B103" s="23"/>
    </row>
    <row r="104" spans="1:11" x14ac:dyDescent="0.2">
      <c r="B104" s="46"/>
      <c r="C104" s="31"/>
      <c r="D104" s="31"/>
    </row>
    <row r="105" spans="1:11" x14ac:dyDescent="0.2">
      <c r="B105" s="46"/>
      <c r="C105" s="31"/>
      <c r="D105" s="31"/>
    </row>
    <row r="107" spans="1:11" x14ac:dyDescent="0.2">
      <c r="A107" s="47"/>
      <c r="B107" s="42"/>
      <c r="C107" s="41"/>
      <c r="D107" s="41"/>
      <c r="E107" s="42"/>
      <c r="F107" s="42"/>
    </row>
    <row r="108" spans="1:11" x14ac:dyDescent="0.2">
      <c r="A108" s="47"/>
      <c r="B108" s="42"/>
      <c r="C108" s="41"/>
      <c r="D108" s="41"/>
      <c r="E108" s="42"/>
      <c r="F108" s="42"/>
    </row>
    <row r="109" spans="1:11" x14ac:dyDescent="0.2">
      <c r="A109" s="47"/>
      <c r="B109" s="43"/>
      <c r="C109" s="41"/>
      <c r="D109" s="41"/>
      <c r="E109" s="42"/>
      <c r="F109" s="42"/>
    </row>
    <row r="110" spans="1:11" x14ac:dyDescent="0.2">
      <c r="A110" s="47"/>
      <c r="B110" s="42"/>
      <c r="C110" s="40"/>
      <c r="D110" s="41"/>
      <c r="E110" s="41"/>
      <c r="F110" s="42"/>
    </row>
    <row r="111" spans="1:11" x14ac:dyDescent="0.2">
      <c r="A111" s="47"/>
      <c r="B111" s="42"/>
      <c r="C111" s="40"/>
      <c r="D111" s="41"/>
      <c r="E111" s="41"/>
      <c r="F111" s="42"/>
    </row>
    <row r="112" spans="1:11" x14ac:dyDescent="0.2">
      <c r="A112" s="47"/>
      <c r="B112" s="42"/>
      <c r="C112" s="40"/>
      <c r="D112" s="41"/>
      <c r="E112" s="41"/>
      <c r="F112" s="42"/>
    </row>
    <row r="113" spans="1:6" x14ac:dyDescent="0.2">
      <c r="A113" s="47"/>
      <c r="B113" s="42"/>
      <c r="C113" s="40"/>
      <c r="D113" s="41"/>
      <c r="E113" s="41"/>
      <c r="F113" s="42"/>
    </row>
    <row r="114" spans="1:6" x14ac:dyDescent="0.2">
      <c r="A114" s="47"/>
      <c r="B114" s="42"/>
      <c r="C114" s="40"/>
      <c r="D114" s="41"/>
      <c r="E114" s="41"/>
      <c r="F114" s="42"/>
    </row>
    <row r="115" spans="1:6" x14ac:dyDescent="0.2">
      <c r="A115" s="47"/>
      <c r="B115" s="42"/>
      <c r="C115" s="40"/>
      <c r="D115" s="41"/>
      <c r="E115" s="41"/>
      <c r="F115" s="42"/>
    </row>
    <row r="116" spans="1:6" x14ac:dyDescent="0.2">
      <c r="A116" s="47"/>
      <c r="B116" s="42"/>
      <c r="C116" s="40"/>
      <c r="D116" s="41"/>
      <c r="E116" s="41"/>
      <c r="F116" s="42"/>
    </row>
    <row r="117" spans="1:6" x14ac:dyDescent="0.2">
      <c r="A117" s="47"/>
      <c r="B117" s="42"/>
      <c r="C117" s="40"/>
      <c r="D117" s="41"/>
      <c r="E117" s="41"/>
      <c r="F117" s="42"/>
    </row>
    <row r="118" spans="1:6" x14ac:dyDescent="0.2">
      <c r="A118" s="47"/>
      <c r="B118" s="42"/>
      <c r="C118" s="40"/>
      <c r="D118" s="41"/>
      <c r="E118" s="41"/>
      <c r="F118" s="42"/>
    </row>
    <row r="119" spans="1:6" x14ac:dyDescent="0.2">
      <c r="A119" s="47"/>
      <c r="B119" s="42"/>
      <c r="C119" s="40"/>
      <c r="D119" s="41"/>
      <c r="E119" s="41"/>
      <c r="F119" s="42"/>
    </row>
    <row r="120" spans="1:6" x14ac:dyDescent="0.2">
      <c r="A120" s="47"/>
      <c r="B120" s="42"/>
      <c r="C120" s="40"/>
      <c r="D120" s="41"/>
      <c r="E120" s="41"/>
      <c r="F120" s="42"/>
    </row>
    <row r="121" spans="1:6" x14ac:dyDescent="0.2">
      <c r="A121" s="47"/>
      <c r="B121" s="42"/>
      <c r="C121" s="40"/>
      <c r="D121" s="41"/>
      <c r="E121" s="41"/>
      <c r="F121" s="42"/>
    </row>
    <row r="122" spans="1:6" x14ac:dyDescent="0.2">
      <c r="A122" s="47"/>
      <c r="B122" s="42"/>
      <c r="C122" s="40"/>
      <c r="D122" s="41"/>
      <c r="E122" s="41"/>
      <c r="F122" s="42"/>
    </row>
    <row r="123" spans="1:6" x14ac:dyDescent="0.2">
      <c r="A123" s="47"/>
      <c r="B123" s="42"/>
      <c r="C123" s="40"/>
      <c r="D123" s="41"/>
      <c r="E123" s="41"/>
      <c r="F123" s="42"/>
    </row>
    <row r="124" spans="1:6" x14ac:dyDescent="0.2">
      <c r="A124" s="47"/>
      <c r="B124" s="42"/>
      <c r="C124" s="40"/>
      <c r="D124" s="40"/>
      <c r="E124" s="42"/>
      <c r="F124" s="42"/>
    </row>
    <row r="125" spans="1:6" x14ac:dyDescent="0.2">
      <c r="A125" s="47"/>
      <c r="B125" s="43"/>
      <c r="C125" s="41"/>
      <c r="D125" s="41"/>
      <c r="E125" s="42"/>
      <c r="F125" s="42"/>
    </row>
    <row r="126" spans="1:6" x14ac:dyDescent="0.2">
      <c r="A126" s="47"/>
      <c r="B126" s="42"/>
      <c r="C126" s="40"/>
      <c r="D126" s="41"/>
      <c r="E126" s="41"/>
      <c r="F126" s="42"/>
    </row>
    <row r="127" spans="1:6" x14ac:dyDescent="0.2">
      <c r="A127" s="47"/>
      <c r="B127" s="43"/>
      <c r="C127" s="41"/>
      <c r="D127" s="41"/>
      <c r="E127" s="42"/>
      <c r="F127" s="42"/>
    </row>
    <row r="128" spans="1:6" x14ac:dyDescent="0.2">
      <c r="A128" s="47"/>
      <c r="B128" s="42"/>
      <c r="C128" s="40"/>
      <c r="D128" s="41"/>
      <c r="E128" s="41"/>
      <c r="F128" s="42"/>
    </row>
    <row r="129" spans="1:6" x14ac:dyDescent="0.2">
      <c r="A129" s="47"/>
      <c r="B129" s="42"/>
      <c r="C129" s="40"/>
      <c r="D129" s="41"/>
      <c r="E129" s="41"/>
      <c r="F129" s="42"/>
    </row>
    <row r="130" spans="1:6" x14ac:dyDescent="0.2">
      <c r="A130" s="47"/>
      <c r="B130" s="42"/>
      <c r="C130" s="40"/>
      <c r="D130" s="41"/>
      <c r="E130" s="41"/>
      <c r="F130" s="42"/>
    </row>
    <row r="131" spans="1:6" x14ac:dyDescent="0.2">
      <c r="A131" s="47"/>
      <c r="B131" s="42"/>
      <c r="C131" s="40"/>
      <c r="D131" s="41"/>
      <c r="E131" s="41"/>
      <c r="F131" s="42"/>
    </row>
    <row r="132" spans="1:6" x14ac:dyDescent="0.2">
      <c r="A132" s="47"/>
      <c r="B132" s="42"/>
      <c r="C132" s="40"/>
      <c r="D132" s="41"/>
      <c r="E132" s="41"/>
      <c r="F132" s="42"/>
    </row>
    <row r="133" spans="1:6" x14ac:dyDescent="0.2">
      <c r="A133" s="47"/>
      <c r="B133" s="42"/>
      <c r="C133" s="40"/>
      <c r="D133" s="41"/>
      <c r="E133" s="41"/>
      <c r="F133" s="42"/>
    </row>
    <row r="134" spans="1:6" x14ac:dyDescent="0.2">
      <c r="A134" s="47"/>
      <c r="B134" s="42"/>
      <c r="C134" s="40"/>
      <c r="D134" s="41"/>
      <c r="E134" s="41"/>
      <c r="F134" s="42"/>
    </row>
    <row r="135" spans="1:6" x14ac:dyDescent="0.2">
      <c r="A135" s="47"/>
      <c r="B135" s="42"/>
      <c r="C135" s="40"/>
      <c r="D135" s="41"/>
      <c r="E135" s="41"/>
      <c r="F135" s="42"/>
    </row>
    <row r="136" spans="1:6" x14ac:dyDescent="0.2">
      <c r="A136" s="47"/>
      <c r="B136" s="42"/>
      <c r="C136" s="40"/>
      <c r="D136" s="41"/>
      <c r="E136" s="41"/>
      <c r="F136" s="42"/>
    </row>
    <row r="137" spans="1:6" x14ac:dyDescent="0.2">
      <c r="A137" s="47"/>
      <c r="B137" s="42"/>
      <c r="C137" s="40"/>
      <c r="D137" s="41"/>
      <c r="E137" s="41"/>
      <c r="F137" s="42"/>
    </row>
    <row r="138" spans="1:6" x14ac:dyDescent="0.2">
      <c r="A138" s="47"/>
      <c r="B138" s="42"/>
      <c r="C138" s="40"/>
      <c r="D138" s="41"/>
      <c r="E138" s="41"/>
      <c r="F138" s="42"/>
    </row>
    <row r="139" spans="1:6" x14ac:dyDescent="0.2">
      <c r="A139" s="47"/>
      <c r="B139" s="42"/>
      <c r="C139" s="40"/>
      <c r="D139" s="41"/>
      <c r="E139" s="41"/>
      <c r="F139" s="42"/>
    </row>
    <row r="140" spans="1:6" x14ac:dyDescent="0.2">
      <c r="A140" s="47"/>
      <c r="B140" s="42"/>
      <c r="C140" s="40"/>
      <c r="D140" s="41"/>
      <c r="E140" s="41"/>
      <c r="F140" s="42"/>
    </row>
    <row r="141" spans="1:6" x14ac:dyDescent="0.2">
      <c r="A141" s="47"/>
      <c r="B141" s="42"/>
      <c r="C141" s="40"/>
      <c r="D141" s="41"/>
      <c r="E141" s="41"/>
      <c r="F141" s="42"/>
    </row>
    <row r="142" spans="1:6" x14ac:dyDescent="0.2">
      <c r="A142" s="47"/>
      <c r="B142" s="42"/>
      <c r="C142" s="40"/>
      <c r="D142" s="41"/>
      <c r="E142" s="41"/>
      <c r="F142" s="42"/>
    </row>
    <row r="143" spans="1:6" x14ac:dyDescent="0.2">
      <c r="A143" s="47"/>
      <c r="B143" s="42"/>
      <c r="C143" s="41"/>
      <c r="D143" s="41"/>
      <c r="E143" s="42"/>
      <c r="F143" s="42"/>
    </row>
    <row r="144" spans="1:6" x14ac:dyDescent="0.2">
      <c r="A144" s="47"/>
      <c r="B144" s="42"/>
      <c r="C144" s="41"/>
      <c r="D144" s="41"/>
      <c r="E144" s="42"/>
      <c r="F144" s="42"/>
    </row>
  </sheetData>
  <mergeCells count="4">
    <mergeCell ref="C10:D10"/>
    <mergeCell ref="E10:F10"/>
    <mergeCell ref="K10:L10"/>
    <mergeCell ref="N10:O10"/>
  </mergeCells>
  <phoneticPr fontId="0" type="noConversion"/>
  <pageMargins left="0.75" right="0.75" top="1" bottom="1" header="0.5" footer="0.5"/>
  <pageSetup paperSize="9" scale="6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Munka34">
    <pageSetUpPr fitToPage="1"/>
  </sheetPr>
  <dimension ref="B1:M109"/>
  <sheetViews>
    <sheetView topLeftCell="A31" workbookViewId="0">
      <selection activeCell="E61" sqref="E61"/>
    </sheetView>
  </sheetViews>
  <sheetFormatPr defaultRowHeight="12.75" x14ac:dyDescent="0.2"/>
  <cols>
    <col min="1" max="1" width="3.5703125" customWidth="1"/>
    <col min="2" max="2" width="16.5703125" customWidth="1"/>
    <col min="3" max="4" width="18.7109375" customWidth="1"/>
    <col min="5" max="5" width="12.28515625" customWidth="1"/>
    <col min="6" max="6" width="13.42578125" customWidth="1"/>
    <col min="8" max="8" width="10.5703125" customWidth="1"/>
    <col min="9" max="9" width="18.42578125" style="636" bestFit="1" customWidth="1"/>
    <col min="10" max="10" width="12.85546875" style="636" customWidth="1"/>
    <col min="13" max="13" width="16.140625" customWidth="1"/>
  </cols>
  <sheetData>
    <row r="1" spans="2:13" x14ac:dyDescent="0.2">
      <c r="C1" t="s">
        <v>2057</v>
      </c>
      <c r="D1" t="s">
        <v>2055</v>
      </c>
      <c r="E1" t="s">
        <v>2050</v>
      </c>
      <c r="F1" t="s">
        <v>2045</v>
      </c>
      <c r="G1" t="s">
        <v>1531</v>
      </c>
      <c r="H1" t="s">
        <v>2046</v>
      </c>
      <c r="I1" s="636" t="s">
        <v>2044</v>
      </c>
      <c r="J1" s="636" t="s">
        <v>1413</v>
      </c>
    </row>
    <row r="3" spans="2:13" x14ac:dyDescent="0.2">
      <c r="B3" t="s">
        <v>2054</v>
      </c>
      <c r="C3" t="s">
        <v>898</v>
      </c>
      <c r="D3" t="s">
        <v>2059</v>
      </c>
      <c r="E3">
        <v>31</v>
      </c>
      <c r="F3">
        <v>15</v>
      </c>
      <c r="G3">
        <f>E3*(F3/100+1)</f>
        <v>35.65</v>
      </c>
      <c r="H3" s="635">
        <f>ROUNDUP(G3,0)</f>
        <v>36</v>
      </c>
      <c r="I3" s="636">
        <v>4600</v>
      </c>
      <c r="J3" s="636">
        <f>H3*I3</f>
        <v>165600</v>
      </c>
    </row>
    <row r="5" spans="2:13" x14ac:dyDescent="0.2">
      <c r="B5" t="s">
        <v>641</v>
      </c>
      <c r="C5" t="s">
        <v>2056</v>
      </c>
      <c r="D5" t="s">
        <v>13</v>
      </c>
      <c r="E5">
        <v>9.17</v>
      </c>
      <c r="F5">
        <v>10</v>
      </c>
      <c r="G5">
        <f>E5*(F5/100+1)</f>
        <v>10.087000000000002</v>
      </c>
      <c r="H5" s="635">
        <f>ROUNDUP(G5,0)</f>
        <v>11</v>
      </c>
      <c r="I5" s="636">
        <v>1270</v>
      </c>
      <c r="J5" s="636">
        <f>H5*I5</f>
        <v>13970</v>
      </c>
    </row>
    <row r="6" spans="2:13" x14ac:dyDescent="0.2">
      <c r="B6" t="s">
        <v>778</v>
      </c>
      <c r="C6" t="s">
        <v>2056</v>
      </c>
      <c r="D6" t="s">
        <v>13</v>
      </c>
      <c r="E6">
        <v>5.61</v>
      </c>
      <c r="F6">
        <v>10</v>
      </c>
      <c r="G6">
        <f>E6*(F6/100+1)</f>
        <v>6.1710000000000012</v>
      </c>
      <c r="H6" s="635">
        <f>ROUNDUP(G6,0)</f>
        <v>7</v>
      </c>
      <c r="I6" s="636">
        <v>1270</v>
      </c>
      <c r="J6" s="636">
        <f>H6*I6</f>
        <v>8890</v>
      </c>
    </row>
    <row r="7" spans="2:13" x14ac:dyDescent="0.2">
      <c r="B7" t="s">
        <v>2067</v>
      </c>
      <c r="C7" t="s">
        <v>898</v>
      </c>
      <c r="D7" t="s">
        <v>898</v>
      </c>
      <c r="E7">
        <v>3.71</v>
      </c>
      <c r="F7">
        <v>10</v>
      </c>
      <c r="G7">
        <f>E7*(F7/100+1)</f>
        <v>4.0810000000000004</v>
      </c>
      <c r="H7" s="635">
        <f>ROUNDUP(G7,0)</f>
        <v>5</v>
      </c>
      <c r="I7" s="636">
        <v>2000</v>
      </c>
      <c r="J7" s="636">
        <f>H7*I7</f>
        <v>10000</v>
      </c>
    </row>
    <row r="8" spans="2:13" x14ac:dyDescent="0.2">
      <c r="B8" t="s">
        <v>636</v>
      </c>
      <c r="E8">
        <v>14.31</v>
      </c>
      <c r="F8">
        <v>15</v>
      </c>
      <c r="G8">
        <f>E8*(F8/100+1)</f>
        <v>16.456499999999998</v>
      </c>
      <c r="H8" s="635">
        <f>ROUNDUP(G8,0)</f>
        <v>17</v>
      </c>
      <c r="I8" s="636">
        <v>5000</v>
      </c>
      <c r="J8" s="636">
        <f>H8*I8</f>
        <v>85000</v>
      </c>
      <c r="K8">
        <v>12</v>
      </c>
      <c r="L8" t="s">
        <v>2180</v>
      </c>
      <c r="M8" s="1123" t="s">
        <v>2198</v>
      </c>
    </row>
    <row r="9" spans="2:13" x14ac:dyDescent="0.2">
      <c r="B9" t="s">
        <v>1526</v>
      </c>
      <c r="E9">
        <v>4.21</v>
      </c>
      <c r="F9">
        <v>15</v>
      </c>
      <c r="G9">
        <f>E9*(F9/100+1)</f>
        <v>4.8414999999999999</v>
      </c>
      <c r="H9" s="635">
        <v>6</v>
      </c>
      <c r="I9" s="636">
        <v>5000</v>
      </c>
      <c r="J9" s="636">
        <f>H9*I9</f>
        <v>30000</v>
      </c>
      <c r="K9">
        <v>5</v>
      </c>
      <c r="L9" t="s">
        <v>2180</v>
      </c>
      <c r="M9" s="1123"/>
    </row>
    <row r="10" spans="2:13" x14ac:dyDescent="0.2">
      <c r="B10" t="s">
        <v>2216</v>
      </c>
      <c r="C10" t="s">
        <v>2239</v>
      </c>
      <c r="G10">
        <v>2</v>
      </c>
      <c r="H10" s="635"/>
      <c r="I10" s="636">
        <v>5800</v>
      </c>
      <c r="J10" s="636">
        <f>G10*I10</f>
        <v>11600</v>
      </c>
    </row>
    <row r="11" spans="2:13" x14ac:dyDescent="0.2">
      <c r="B11" t="s">
        <v>631</v>
      </c>
      <c r="C11" t="s">
        <v>2180</v>
      </c>
      <c r="D11" t="s">
        <v>898</v>
      </c>
      <c r="G11">
        <v>3</v>
      </c>
      <c r="H11" s="635"/>
      <c r="I11" s="636">
        <v>7500</v>
      </c>
      <c r="J11" s="636">
        <f>G11*I11</f>
        <v>22500</v>
      </c>
    </row>
    <row r="12" spans="2:13" x14ac:dyDescent="0.2">
      <c r="H12" s="635"/>
    </row>
    <row r="13" spans="2:13" ht="13.5" thickBot="1" x14ac:dyDescent="0.25"/>
    <row r="14" spans="2:13" ht="13.5" thickBot="1" x14ac:dyDescent="0.25">
      <c r="B14" s="646" t="s">
        <v>639</v>
      </c>
      <c r="C14" s="64"/>
      <c r="D14" s="64"/>
      <c r="E14" s="64"/>
      <c r="F14" s="64"/>
      <c r="G14" s="64"/>
      <c r="H14" s="64"/>
      <c r="I14" s="637"/>
      <c r="J14" s="638"/>
    </row>
    <row r="15" spans="2:13" x14ac:dyDescent="0.2">
      <c r="B15" s="55" t="s">
        <v>1524</v>
      </c>
      <c r="C15" s="47" t="s">
        <v>2047</v>
      </c>
      <c r="D15" s="47" t="s">
        <v>2058</v>
      </c>
      <c r="E15" s="47">
        <v>15.76</v>
      </c>
      <c r="F15" s="47">
        <v>10</v>
      </c>
      <c r="G15" s="47">
        <f>E15*(F15/100+1)</f>
        <v>17.336000000000002</v>
      </c>
      <c r="H15" s="639">
        <f>ROUNDUP(G15,0)</f>
        <v>18</v>
      </c>
      <c r="I15" s="640">
        <v>3040</v>
      </c>
      <c r="J15" s="641">
        <f>H15*I15</f>
        <v>54720</v>
      </c>
    </row>
    <row r="16" spans="2:13" x14ac:dyDescent="0.2">
      <c r="B16" s="55"/>
      <c r="C16" s="47" t="s">
        <v>2048</v>
      </c>
      <c r="D16" s="47" t="s">
        <v>2058</v>
      </c>
      <c r="E16" s="47">
        <v>4.9000000000000004</v>
      </c>
      <c r="F16" s="47">
        <v>10</v>
      </c>
      <c r="G16" s="47">
        <f>E16*(F16/100+1)</f>
        <v>5.3900000000000006</v>
      </c>
      <c r="H16" s="639">
        <f>ROUNDUP(G16,0)</f>
        <v>6</v>
      </c>
      <c r="I16" s="640">
        <v>3040</v>
      </c>
      <c r="J16" s="641">
        <f>H16*I16</f>
        <v>18240</v>
      </c>
    </row>
    <row r="17" spans="2:10" x14ac:dyDescent="0.2">
      <c r="B17" s="55"/>
      <c r="C17" s="47" t="s">
        <v>2049</v>
      </c>
      <c r="D17" s="47" t="s">
        <v>2058</v>
      </c>
      <c r="E17" s="47"/>
      <c r="F17" s="47"/>
      <c r="G17" s="47">
        <f>E17*(F17/100+1)</f>
        <v>0</v>
      </c>
      <c r="H17" s="639"/>
      <c r="I17" s="640">
        <v>2120</v>
      </c>
      <c r="J17" s="641">
        <f>H17*I17</f>
        <v>0</v>
      </c>
    </row>
    <row r="18" spans="2:10" x14ac:dyDescent="0.2">
      <c r="B18" s="55"/>
      <c r="C18" s="47" t="s">
        <v>2053</v>
      </c>
      <c r="D18" s="47" t="s">
        <v>2058</v>
      </c>
      <c r="E18" s="47"/>
      <c r="F18" s="47"/>
      <c r="G18" s="47">
        <f>E18*(F18/100+1)</f>
        <v>0</v>
      </c>
      <c r="H18" s="639"/>
      <c r="I18" s="640">
        <v>350</v>
      </c>
      <c r="J18" s="641">
        <f>H18*I18</f>
        <v>0</v>
      </c>
    </row>
    <row r="19" spans="2:10" x14ac:dyDescent="0.2">
      <c r="B19" s="55"/>
      <c r="C19" s="47" t="s">
        <v>2051</v>
      </c>
      <c r="D19" s="47" t="s">
        <v>2058</v>
      </c>
      <c r="E19" s="47"/>
      <c r="F19" s="47"/>
      <c r="G19" s="47">
        <f>E19*(F19/100+1)</f>
        <v>0</v>
      </c>
      <c r="H19" s="639"/>
      <c r="I19" s="640">
        <v>540</v>
      </c>
      <c r="J19" s="641">
        <f>H19*I19</f>
        <v>0</v>
      </c>
    </row>
    <row r="20" spans="2:10" x14ac:dyDescent="0.2">
      <c r="B20" s="55"/>
      <c r="C20" s="47" t="s">
        <v>2052</v>
      </c>
      <c r="D20" s="47" t="s">
        <v>2058</v>
      </c>
      <c r="E20" s="47"/>
      <c r="F20" s="47"/>
      <c r="G20" s="47">
        <v>9</v>
      </c>
      <c r="H20" s="639"/>
      <c r="I20" s="640">
        <v>730</v>
      </c>
      <c r="J20" s="636">
        <f>G20*I20</f>
        <v>6570</v>
      </c>
    </row>
    <row r="21" spans="2:10" x14ac:dyDescent="0.2">
      <c r="B21" s="55"/>
      <c r="C21" s="47"/>
      <c r="D21" s="47"/>
      <c r="E21" s="47"/>
      <c r="F21" s="47"/>
      <c r="G21" s="47"/>
      <c r="H21" s="47"/>
      <c r="I21" s="640"/>
      <c r="J21" s="641"/>
    </row>
    <row r="22" spans="2:10" x14ac:dyDescent="0.2">
      <c r="B22" s="55" t="s">
        <v>614</v>
      </c>
      <c r="C22" s="47" t="s">
        <v>2047</v>
      </c>
      <c r="D22" s="47" t="s">
        <v>2058</v>
      </c>
      <c r="E22" s="47">
        <v>0</v>
      </c>
      <c r="F22" s="47">
        <v>10</v>
      </c>
      <c r="G22" s="47">
        <f>E22*(F22/100+1)</f>
        <v>0</v>
      </c>
      <c r="H22" s="639">
        <f>ROUNDUP(G22,0)</f>
        <v>0</v>
      </c>
      <c r="I22" s="640">
        <v>3350</v>
      </c>
      <c r="J22" s="641">
        <f>H22*I22</f>
        <v>0</v>
      </c>
    </row>
    <row r="23" spans="2:10" ht="13.5" thickBot="1" x14ac:dyDescent="0.25">
      <c r="B23" s="326"/>
      <c r="C23" s="65" t="s">
        <v>2048</v>
      </c>
      <c r="D23" s="65" t="s">
        <v>2058</v>
      </c>
      <c r="E23" s="65">
        <v>4.5999999999999996</v>
      </c>
      <c r="F23" s="65">
        <v>10</v>
      </c>
      <c r="G23" s="65">
        <f>E23*(F23/100+1)</f>
        <v>5.0599999999999996</v>
      </c>
      <c r="H23" s="642">
        <f>ROUNDUP(G23,0)</f>
        <v>6</v>
      </c>
      <c r="I23" s="643">
        <v>3350</v>
      </c>
      <c r="J23" s="644">
        <f>H23*I23</f>
        <v>20100</v>
      </c>
    </row>
    <row r="24" spans="2:10" ht="13.5" thickBot="1" x14ac:dyDescent="0.25"/>
    <row r="25" spans="2:10" ht="13.5" thickBot="1" x14ac:dyDescent="0.25">
      <c r="B25" s="646" t="s">
        <v>634</v>
      </c>
      <c r="C25" s="64"/>
      <c r="D25" s="64"/>
      <c r="E25" s="64"/>
      <c r="F25" s="64"/>
      <c r="G25" s="64"/>
      <c r="H25" s="64"/>
      <c r="I25" s="637"/>
      <c r="J25" s="638"/>
    </row>
    <row r="26" spans="2:10" x14ac:dyDescent="0.2">
      <c r="B26" s="55" t="s">
        <v>1524</v>
      </c>
      <c r="C26" s="47" t="s">
        <v>2047</v>
      </c>
      <c r="D26" s="47" t="s">
        <v>2058</v>
      </c>
      <c r="E26" s="47">
        <v>9.77</v>
      </c>
      <c r="F26" s="47">
        <v>10</v>
      </c>
      <c r="G26" s="47">
        <f>E26*(F26/100+1)</f>
        <v>10.747</v>
      </c>
      <c r="H26" s="639">
        <f>ROUNDUP(G26,0)</f>
        <v>11</v>
      </c>
      <c r="I26" s="640">
        <v>3040</v>
      </c>
      <c r="J26" s="641">
        <f>H26*I26</f>
        <v>33440</v>
      </c>
    </row>
    <row r="27" spans="2:10" x14ac:dyDescent="0.2">
      <c r="B27" s="55"/>
      <c r="C27" s="47" t="s">
        <v>2048</v>
      </c>
      <c r="D27" s="47" t="s">
        <v>2058</v>
      </c>
      <c r="E27" s="47">
        <v>2.68</v>
      </c>
      <c r="F27" s="47">
        <v>10</v>
      </c>
      <c r="G27" s="47">
        <f>E27*(F27/100+1)</f>
        <v>2.9480000000000004</v>
      </c>
      <c r="H27" s="639">
        <f>ROUNDUP(G27,0)</f>
        <v>3</v>
      </c>
      <c r="I27" s="640">
        <v>3040</v>
      </c>
      <c r="J27" s="641">
        <f>H27*I27</f>
        <v>9120</v>
      </c>
    </row>
    <row r="28" spans="2:10" x14ac:dyDescent="0.2">
      <c r="B28" s="55"/>
      <c r="C28" s="47" t="s">
        <v>2049</v>
      </c>
      <c r="D28" s="47" t="s">
        <v>2058</v>
      </c>
      <c r="E28" s="47"/>
      <c r="F28" s="47"/>
      <c r="G28" s="47">
        <v>4</v>
      </c>
      <c r="H28" s="639"/>
      <c r="I28" s="640">
        <v>2120</v>
      </c>
      <c r="J28" s="636">
        <f>G28*I28</f>
        <v>8480</v>
      </c>
    </row>
    <row r="29" spans="2:10" x14ac:dyDescent="0.2">
      <c r="B29" s="55"/>
      <c r="C29" s="47" t="s">
        <v>2053</v>
      </c>
      <c r="D29" s="47" t="s">
        <v>2058</v>
      </c>
      <c r="E29" s="47"/>
      <c r="F29" s="47"/>
      <c r="G29" s="47">
        <f>E29*(F29/100+1)</f>
        <v>0</v>
      </c>
      <c r="H29" s="639"/>
      <c r="I29" s="640">
        <v>350</v>
      </c>
      <c r="J29" s="641">
        <f>H29*I29</f>
        <v>0</v>
      </c>
    </row>
    <row r="30" spans="2:10" x14ac:dyDescent="0.2">
      <c r="B30" s="55"/>
      <c r="C30" s="47" t="s">
        <v>2051</v>
      </c>
      <c r="D30" s="47" t="s">
        <v>2058</v>
      </c>
      <c r="E30" s="47"/>
      <c r="F30" s="47"/>
      <c r="G30" s="47">
        <f>E30*(F30/100+1)</f>
        <v>0</v>
      </c>
      <c r="H30" s="639"/>
      <c r="I30" s="640">
        <v>540</v>
      </c>
      <c r="J30" s="641">
        <f>H30*I30</f>
        <v>0</v>
      </c>
    </row>
    <row r="31" spans="2:10" x14ac:dyDescent="0.2">
      <c r="B31" s="55"/>
      <c r="C31" s="47" t="s">
        <v>2052</v>
      </c>
      <c r="D31" s="47" t="s">
        <v>2058</v>
      </c>
      <c r="E31" s="47"/>
      <c r="F31" s="47"/>
      <c r="G31" s="47">
        <f>E31*(F31/100+1)</f>
        <v>0</v>
      </c>
      <c r="H31" s="639"/>
      <c r="I31" s="640">
        <v>730</v>
      </c>
      <c r="J31" s="641">
        <f>H31*I31</f>
        <v>0</v>
      </c>
    </row>
    <row r="32" spans="2:10" x14ac:dyDescent="0.2">
      <c r="B32" s="55"/>
      <c r="C32" s="47"/>
      <c r="D32" s="47"/>
      <c r="E32" s="47"/>
      <c r="F32" s="47"/>
      <c r="G32" s="47"/>
      <c r="H32" s="47"/>
      <c r="I32" s="640"/>
      <c r="J32" s="641"/>
    </row>
    <row r="33" spans="2:10" x14ac:dyDescent="0.2">
      <c r="B33" s="55" t="s">
        <v>614</v>
      </c>
      <c r="C33" s="47" t="s">
        <v>2047</v>
      </c>
      <c r="D33" s="47" t="s">
        <v>2058</v>
      </c>
      <c r="E33" s="47">
        <v>2.1</v>
      </c>
      <c r="F33" s="47">
        <v>10</v>
      </c>
      <c r="G33" s="47">
        <f>E33*(F33/100+1)</f>
        <v>2.3100000000000005</v>
      </c>
      <c r="H33" s="639">
        <f>ROUNDUP(G33,0)</f>
        <v>3</v>
      </c>
      <c r="I33" s="640">
        <v>3350</v>
      </c>
      <c r="J33" s="641">
        <f>H33*I33</f>
        <v>10050</v>
      </c>
    </row>
    <row r="34" spans="2:10" ht="13.5" thickBot="1" x14ac:dyDescent="0.25">
      <c r="B34" s="326"/>
      <c r="C34" s="65" t="s">
        <v>2048</v>
      </c>
      <c r="D34" s="65" t="s">
        <v>2058</v>
      </c>
      <c r="E34" s="65">
        <v>1.49</v>
      </c>
      <c r="F34" s="65">
        <v>10</v>
      </c>
      <c r="G34" s="65">
        <f>E34*(F34/100+1)</f>
        <v>1.639</v>
      </c>
      <c r="H34" s="642">
        <f>ROUNDUP(G34,0)</f>
        <v>2</v>
      </c>
      <c r="I34" s="643">
        <v>3350</v>
      </c>
      <c r="J34" s="644">
        <f>H34*I34</f>
        <v>6700</v>
      </c>
    </row>
    <row r="35" spans="2:10" ht="13.5" thickBot="1" x14ac:dyDescent="0.25"/>
    <row r="36" spans="2:10" ht="13.5" thickBot="1" x14ac:dyDescent="0.25">
      <c r="B36" s="646" t="s">
        <v>931</v>
      </c>
      <c r="C36" s="64"/>
      <c r="D36" s="64"/>
      <c r="E36" s="64"/>
      <c r="F36" s="64"/>
      <c r="G36" s="64"/>
      <c r="H36" s="64"/>
      <c r="I36" s="637"/>
      <c r="J36" s="638"/>
    </row>
    <row r="37" spans="2:10" x14ac:dyDescent="0.2">
      <c r="B37" s="55" t="s">
        <v>1524</v>
      </c>
      <c r="C37" s="47" t="s">
        <v>2047</v>
      </c>
      <c r="D37" s="47" t="s">
        <v>2058</v>
      </c>
      <c r="E37" s="47">
        <v>5.1100000000000003</v>
      </c>
      <c r="F37" s="47">
        <v>10</v>
      </c>
      <c r="G37" s="47">
        <f t="shared" ref="G37:G42" si="0">E37*(F37/100+1)</f>
        <v>5.6210000000000004</v>
      </c>
      <c r="H37" s="639">
        <f>ROUNDUP(G37,0)</f>
        <v>6</v>
      </c>
      <c r="I37" s="640">
        <v>3040</v>
      </c>
      <c r="J37" s="641">
        <f t="shared" ref="J37:J42" si="1">H37*I37</f>
        <v>18240</v>
      </c>
    </row>
    <row r="38" spans="2:10" x14ac:dyDescent="0.2">
      <c r="B38" s="55"/>
      <c r="C38" s="47" t="s">
        <v>2048</v>
      </c>
      <c r="D38" s="47" t="s">
        <v>2058</v>
      </c>
      <c r="E38" s="47">
        <v>1.72</v>
      </c>
      <c r="F38" s="47">
        <v>10</v>
      </c>
      <c r="G38" s="47">
        <f t="shared" si="0"/>
        <v>1.8920000000000001</v>
      </c>
      <c r="H38" s="639">
        <f>ROUNDUP(G38,0)</f>
        <v>2</v>
      </c>
      <c r="I38" s="640">
        <v>3040</v>
      </c>
      <c r="J38" s="641">
        <f t="shared" si="1"/>
        <v>6080</v>
      </c>
    </row>
    <row r="39" spans="2:10" x14ac:dyDescent="0.2">
      <c r="B39" s="55"/>
      <c r="C39" s="47" t="s">
        <v>2049</v>
      </c>
      <c r="D39" s="47" t="s">
        <v>2058</v>
      </c>
      <c r="E39" s="47"/>
      <c r="F39" s="47"/>
      <c r="G39" s="47">
        <f t="shared" si="0"/>
        <v>0</v>
      </c>
      <c r="H39" s="639"/>
      <c r="I39" s="640">
        <v>2120</v>
      </c>
      <c r="J39" s="641">
        <f t="shared" si="1"/>
        <v>0</v>
      </c>
    </row>
    <row r="40" spans="2:10" x14ac:dyDescent="0.2">
      <c r="B40" s="55"/>
      <c r="C40" s="47" t="s">
        <v>2053</v>
      </c>
      <c r="D40" s="47" t="s">
        <v>2058</v>
      </c>
      <c r="E40" s="47"/>
      <c r="F40" s="47"/>
      <c r="G40" s="47">
        <f t="shared" si="0"/>
        <v>0</v>
      </c>
      <c r="H40" s="639"/>
      <c r="I40" s="640">
        <v>350</v>
      </c>
      <c r="J40" s="641">
        <f t="shared" si="1"/>
        <v>0</v>
      </c>
    </row>
    <row r="41" spans="2:10" x14ac:dyDescent="0.2">
      <c r="B41" s="55"/>
      <c r="C41" s="47" t="s">
        <v>2051</v>
      </c>
      <c r="D41" s="47" t="s">
        <v>2058</v>
      </c>
      <c r="E41" s="47"/>
      <c r="F41" s="47"/>
      <c r="G41" s="47">
        <f t="shared" si="0"/>
        <v>0</v>
      </c>
      <c r="H41" s="639"/>
      <c r="I41" s="640">
        <v>540</v>
      </c>
      <c r="J41" s="641">
        <f t="shared" si="1"/>
        <v>0</v>
      </c>
    </row>
    <row r="42" spans="2:10" x14ac:dyDescent="0.2">
      <c r="B42" s="55"/>
      <c r="C42" s="47" t="s">
        <v>2052</v>
      </c>
      <c r="D42" s="47" t="s">
        <v>2058</v>
      </c>
      <c r="E42" s="47"/>
      <c r="F42" s="47"/>
      <c r="G42" s="47">
        <f t="shared" si="0"/>
        <v>0</v>
      </c>
      <c r="H42" s="639"/>
      <c r="I42" s="640">
        <v>730</v>
      </c>
      <c r="J42" s="641">
        <f t="shared" si="1"/>
        <v>0</v>
      </c>
    </row>
    <row r="43" spans="2:10" x14ac:dyDescent="0.2">
      <c r="B43" s="55"/>
      <c r="C43" s="47"/>
      <c r="D43" s="47"/>
      <c r="E43" s="47"/>
      <c r="F43" s="47"/>
      <c r="G43" s="47"/>
      <c r="H43" s="47"/>
      <c r="I43" s="640"/>
      <c r="J43" s="641"/>
    </row>
    <row r="44" spans="2:10" x14ac:dyDescent="0.2">
      <c r="B44" s="55" t="s">
        <v>614</v>
      </c>
      <c r="C44" s="47" t="s">
        <v>2047</v>
      </c>
      <c r="D44" s="47" t="s">
        <v>2058</v>
      </c>
      <c r="E44" s="47">
        <v>0</v>
      </c>
      <c r="F44" s="47">
        <v>10</v>
      </c>
      <c r="G44" s="47">
        <f>E44*(F44/100+1)</f>
        <v>0</v>
      </c>
      <c r="H44" s="639">
        <f>ROUNDUP(G44,0)</f>
        <v>0</v>
      </c>
      <c r="I44" s="640">
        <v>3350</v>
      </c>
      <c r="J44" s="641">
        <f>H44*I44</f>
        <v>0</v>
      </c>
    </row>
    <row r="45" spans="2:10" ht="13.5" thickBot="1" x14ac:dyDescent="0.25">
      <c r="B45" s="326"/>
      <c r="C45" s="65" t="s">
        <v>2048</v>
      </c>
      <c r="D45" s="65" t="s">
        <v>2058</v>
      </c>
      <c r="E45" s="65">
        <v>1.62</v>
      </c>
      <c r="F45" s="65">
        <v>10</v>
      </c>
      <c r="G45" s="65">
        <f>E45*(F45/100+1)</f>
        <v>1.7820000000000003</v>
      </c>
      <c r="H45" s="642">
        <f>ROUNDUP(G45,0)</f>
        <v>2</v>
      </c>
      <c r="I45" s="643">
        <v>3350</v>
      </c>
      <c r="J45" s="644">
        <f>H45*I45</f>
        <v>6700</v>
      </c>
    </row>
    <row r="46" spans="2:10" ht="13.5" thickBot="1" x14ac:dyDescent="0.25"/>
    <row r="47" spans="2:10" ht="13.5" thickBot="1" x14ac:dyDescent="0.25">
      <c r="I47" s="647" t="s">
        <v>2066</v>
      </c>
      <c r="J47" s="648">
        <f>SUM(J3:J45)</f>
        <v>546000</v>
      </c>
    </row>
    <row r="48" spans="2:10" ht="13.5" thickBot="1" x14ac:dyDescent="0.25"/>
    <row r="49" spans="2:12" ht="13.5" thickBot="1" x14ac:dyDescent="0.25">
      <c r="B49" s="322" t="s">
        <v>2060</v>
      </c>
      <c r="C49" s="64" t="s">
        <v>2063</v>
      </c>
      <c r="D49" s="64" t="s">
        <v>2061</v>
      </c>
      <c r="E49" s="64">
        <v>42</v>
      </c>
      <c r="F49" s="64">
        <v>0</v>
      </c>
      <c r="G49" s="64">
        <f t="shared" ref="G49:G61" si="2">E49*(F49/100+1)</f>
        <v>42</v>
      </c>
      <c r="H49" s="649">
        <f t="shared" ref="H49:H61" si="3">ROUNDUP(G49,0)</f>
        <v>42</v>
      </c>
      <c r="I49" s="637">
        <v>3250</v>
      </c>
      <c r="J49" s="638">
        <f t="shared" ref="J49:J61" si="4">H49*I49</f>
        <v>136500</v>
      </c>
    </row>
    <row r="50" spans="2:12" x14ac:dyDescent="0.2">
      <c r="B50" s="55" t="s">
        <v>2062</v>
      </c>
      <c r="C50" s="47" t="s">
        <v>2173</v>
      </c>
      <c r="D50" s="64" t="s">
        <v>2232</v>
      </c>
      <c r="E50" s="47">
        <v>14</v>
      </c>
      <c r="F50" s="47">
        <v>0</v>
      </c>
      <c r="G50" s="47">
        <f t="shared" si="2"/>
        <v>14</v>
      </c>
      <c r="H50" s="639">
        <f t="shared" si="3"/>
        <v>14</v>
      </c>
      <c r="I50" s="640">
        <v>2500</v>
      </c>
      <c r="J50" s="641">
        <f t="shared" si="4"/>
        <v>35000</v>
      </c>
    </row>
    <row r="51" spans="2:12" x14ac:dyDescent="0.2">
      <c r="B51" s="55" t="s">
        <v>1363</v>
      </c>
      <c r="C51" s="47" t="s">
        <v>2065</v>
      </c>
      <c r="D51" s="47" t="s">
        <v>2059</v>
      </c>
      <c r="E51" s="47">
        <v>2</v>
      </c>
      <c r="F51" s="47">
        <v>0</v>
      </c>
      <c r="G51" s="47">
        <f t="shared" si="2"/>
        <v>2</v>
      </c>
      <c r="H51" s="639">
        <f t="shared" si="3"/>
        <v>2</v>
      </c>
      <c r="I51" s="640">
        <v>9000</v>
      </c>
      <c r="J51" s="641">
        <f t="shared" si="4"/>
        <v>18000</v>
      </c>
    </row>
    <row r="52" spans="2:12" ht="13.5" thickBot="1" x14ac:dyDescent="0.25">
      <c r="B52" s="326" t="s">
        <v>2064</v>
      </c>
      <c r="C52" s="65" t="s">
        <v>2237</v>
      </c>
      <c r="D52" s="65" t="s">
        <v>2232</v>
      </c>
      <c r="E52" s="65">
        <v>12</v>
      </c>
      <c r="F52" s="65">
        <v>0</v>
      </c>
      <c r="G52" s="65">
        <f t="shared" si="2"/>
        <v>12</v>
      </c>
      <c r="H52" s="642">
        <f t="shared" si="3"/>
        <v>12</v>
      </c>
      <c r="I52" s="643">
        <v>750</v>
      </c>
      <c r="J52" s="644">
        <f t="shared" si="4"/>
        <v>9000</v>
      </c>
    </row>
    <row r="53" spans="2:12" x14ac:dyDescent="0.2">
      <c r="B53" s="322" t="s">
        <v>2068</v>
      </c>
      <c r="C53" s="64" t="s">
        <v>2238</v>
      </c>
      <c r="D53" s="64" t="s">
        <v>2233</v>
      </c>
      <c r="E53" s="47">
        <v>1</v>
      </c>
      <c r="F53" s="47">
        <v>0</v>
      </c>
      <c r="G53" s="47">
        <f t="shared" si="2"/>
        <v>1</v>
      </c>
      <c r="H53" s="639">
        <f t="shared" si="3"/>
        <v>1</v>
      </c>
      <c r="I53" s="640">
        <v>17500</v>
      </c>
      <c r="J53" s="641">
        <f t="shared" si="4"/>
        <v>17500</v>
      </c>
    </row>
    <row r="54" spans="2:12" x14ac:dyDescent="0.2">
      <c r="B54" s="55" t="s">
        <v>2076</v>
      </c>
      <c r="C54" s="47"/>
      <c r="D54" s="653" t="s">
        <v>2234</v>
      </c>
      <c r="E54" s="47">
        <v>46</v>
      </c>
      <c r="F54" s="47">
        <v>0</v>
      </c>
      <c r="G54" s="47">
        <f t="shared" si="2"/>
        <v>46</v>
      </c>
      <c r="H54" s="639">
        <f t="shared" si="3"/>
        <v>46</v>
      </c>
      <c r="I54" s="640">
        <v>410</v>
      </c>
      <c r="J54" s="641">
        <f t="shared" si="4"/>
        <v>18860</v>
      </c>
    </row>
    <row r="55" spans="2:12" x14ac:dyDescent="0.2">
      <c r="B55" s="55"/>
      <c r="C55" s="47"/>
      <c r="D55" s="653" t="s">
        <v>2061</v>
      </c>
      <c r="E55" s="47">
        <v>10</v>
      </c>
      <c r="F55" s="47">
        <v>0</v>
      </c>
      <c r="G55" s="47">
        <f>E55*(F55/100+1)</f>
        <v>10</v>
      </c>
      <c r="H55" s="639">
        <f>ROUNDUP(G55,0)</f>
        <v>10</v>
      </c>
      <c r="I55" s="640">
        <v>460</v>
      </c>
      <c r="J55" s="641">
        <f>H55*I55</f>
        <v>4600</v>
      </c>
    </row>
    <row r="56" spans="2:12" x14ac:dyDescent="0.2">
      <c r="B56" s="55" t="s">
        <v>2069</v>
      </c>
      <c r="C56" s="653" t="s">
        <v>2231</v>
      </c>
      <c r="D56" s="653" t="s">
        <v>2232</v>
      </c>
      <c r="E56" s="47">
        <v>10</v>
      </c>
      <c r="F56" s="47">
        <v>0</v>
      </c>
      <c r="G56" s="47">
        <f t="shared" si="2"/>
        <v>10</v>
      </c>
      <c r="H56" s="639">
        <f t="shared" si="3"/>
        <v>10</v>
      </c>
      <c r="I56" s="640">
        <v>613</v>
      </c>
      <c r="J56" s="641">
        <f t="shared" si="4"/>
        <v>6130</v>
      </c>
      <c r="L56">
        <v>1.1000000000000001</v>
      </c>
    </row>
    <row r="57" spans="2:12" x14ac:dyDescent="0.2">
      <c r="B57" s="55" t="s">
        <v>2157</v>
      </c>
      <c r="C57" s="653" t="s">
        <v>2077</v>
      </c>
      <c r="D57" s="653" t="s">
        <v>2232</v>
      </c>
      <c r="E57" s="47">
        <v>4</v>
      </c>
      <c r="F57" s="47">
        <v>0</v>
      </c>
      <c r="G57" s="47">
        <f t="shared" si="2"/>
        <v>4</v>
      </c>
      <c r="H57" s="639">
        <f t="shared" si="3"/>
        <v>4</v>
      </c>
      <c r="I57" s="640">
        <v>2500</v>
      </c>
      <c r="J57" s="641">
        <f t="shared" si="4"/>
        <v>10000</v>
      </c>
      <c r="L57">
        <v>1.1000000000000001</v>
      </c>
    </row>
    <row r="58" spans="2:12" ht="13.5" thickBot="1" x14ac:dyDescent="0.25">
      <c r="B58" s="676" t="s">
        <v>2160</v>
      </c>
      <c r="C58" s="653"/>
      <c r="D58" s="653" t="s">
        <v>2235</v>
      </c>
      <c r="E58" s="65">
        <v>3</v>
      </c>
      <c r="F58" s="65">
        <v>0</v>
      </c>
      <c r="G58" s="65">
        <f t="shared" si="2"/>
        <v>3</v>
      </c>
      <c r="H58" s="642">
        <f t="shared" si="3"/>
        <v>3</v>
      </c>
      <c r="I58" s="643">
        <v>860</v>
      </c>
      <c r="J58" s="644">
        <f t="shared" si="4"/>
        <v>2580</v>
      </c>
    </row>
    <row r="59" spans="2:12" x14ac:dyDescent="0.2">
      <c r="B59" s="676" t="s">
        <v>2161</v>
      </c>
      <c r="C59" s="653"/>
      <c r="D59" s="653" t="s">
        <v>2232</v>
      </c>
      <c r="E59" s="47"/>
      <c r="F59" s="47"/>
      <c r="G59" s="47"/>
      <c r="H59" s="639"/>
      <c r="I59" s="640"/>
      <c r="J59" s="641"/>
    </row>
    <row r="60" spans="2:12" ht="13.5" thickBot="1" x14ac:dyDescent="0.25">
      <c r="B60" s="676" t="s">
        <v>2179</v>
      </c>
      <c r="C60" s="653" t="s">
        <v>2241</v>
      </c>
      <c r="D60" s="653" t="s">
        <v>2235</v>
      </c>
      <c r="E60" s="65">
        <v>3</v>
      </c>
      <c r="F60" s="65">
        <v>0</v>
      </c>
      <c r="G60" s="65">
        <f>E60*(F60/100+1)</f>
        <v>3</v>
      </c>
      <c r="H60" s="642">
        <f>ROUNDUP(G60,0)</f>
        <v>3</v>
      </c>
      <c r="I60" s="643">
        <v>820</v>
      </c>
      <c r="J60" s="644">
        <f>H60*I60</f>
        <v>2460</v>
      </c>
    </row>
    <row r="61" spans="2:12" ht="13.5" thickBot="1" x14ac:dyDescent="0.25">
      <c r="B61" s="326" t="s">
        <v>2078</v>
      </c>
      <c r="C61" s="65" t="s">
        <v>2236</v>
      </c>
      <c r="D61" s="65" t="s">
        <v>2232</v>
      </c>
      <c r="E61" s="65">
        <v>7</v>
      </c>
      <c r="F61" s="65">
        <v>0</v>
      </c>
      <c r="G61" s="65">
        <f t="shared" si="2"/>
        <v>7</v>
      </c>
      <c r="H61" s="642">
        <f t="shared" si="3"/>
        <v>7</v>
      </c>
      <c r="I61" s="643">
        <v>1850</v>
      </c>
      <c r="J61" s="644">
        <f t="shared" si="4"/>
        <v>12950</v>
      </c>
      <c r="L61">
        <v>0.9</v>
      </c>
    </row>
    <row r="62" spans="2:12" ht="13.5" thickBot="1" x14ac:dyDescent="0.25">
      <c r="L62">
        <v>1.5</v>
      </c>
    </row>
    <row r="63" spans="2:12" ht="13.5" thickBot="1" x14ac:dyDescent="0.25">
      <c r="I63" s="647" t="s">
        <v>1035</v>
      </c>
      <c r="J63" s="648">
        <f>SUM(J49:J61)</f>
        <v>273580</v>
      </c>
      <c r="L63">
        <v>0.1</v>
      </c>
    </row>
    <row r="64" spans="2:12" ht="13.5" thickBot="1" x14ac:dyDescent="0.25">
      <c r="L64">
        <v>0.1</v>
      </c>
    </row>
    <row r="65" spans="2:12" ht="13.5" thickBot="1" x14ac:dyDescent="0.25">
      <c r="I65" s="650" t="s">
        <v>2070</v>
      </c>
      <c r="J65" s="651">
        <f>J47+J63</f>
        <v>819580</v>
      </c>
      <c r="L65">
        <v>0.1</v>
      </c>
    </row>
    <row r="66" spans="2:12" ht="13.5" thickBot="1" x14ac:dyDescent="0.25">
      <c r="L66">
        <v>0.5</v>
      </c>
    </row>
    <row r="67" spans="2:12" x14ac:dyDescent="0.2">
      <c r="B67" s="645" t="s">
        <v>1135</v>
      </c>
      <c r="C67" s="64"/>
      <c r="D67" s="64"/>
      <c r="E67" s="64"/>
      <c r="F67" s="64"/>
      <c r="G67" s="64"/>
      <c r="H67" s="64"/>
      <c r="I67" s="637"/>
      <c r="J67" s="638"/>
      <c r="L67">
        <v>1.6</v>
      </c>
    </row>
    <row r="68" spans="2:12" x14ac:dyDescent="0.2">
      <c r="B68" s="55"/>
      <c r="C68" s="47" t="s">
        <v>614</v>
      </c>
      <c r="D68" s="47"/>
      <c r="E68" s="47">
        <v>120</v>
      </c>
      <c r="F68" s="47">
        <v>0</v>
      </c>
      <c r="G68" s="47">
        <f>E68*(F68/100+1)</f>
        <v>120</v>
      </c>
      <c r="H68" s="639">
        <f>ROUNDUP(G68,0)</f>
        <v>120</v>
      </c>
      <c r="I68" s="640">
        <v>2500</v>
      </c>
      <c r="J68" s="641">
        <f>H68*I68</f>
        <v>300000</v>
      </c>
      <c r="L68">
        <v>0.1</v>
      </c>
    </row>
    <row r="69" spans="2:12" x14ac:dyDescent="0.2">
      <c r="B69" s="55"/>
      <c r="C69" s="47" t="s">
        <v>616</v>
      </c>
      <c r="D69" s="47"/>
      <c r="E69" s="47">
        <v>56</v>
      </c>
      <c r="F69" s="47">
        <v>0</v>
      </c>
      <c r="G69" s="47">
        <v>55</v>
      </c>
      <c r="H69" s="639">
        <f>ROUNDUP(G69,0)</f>
        <v>55</v>
      </c>
      <c r="I69" s="640">
        <v>700</v>
      </c>
      <c r="J69" s="641">
        <f>H69*I69</f>
        <v>38500</v>
      </c>
      <c r="L69">
        <v>0.7</v>
      </c>
    </row>
    <row r="70" spans="2:12" ht="13.5" thickBot="1" x14ac:dyDescent="0.25">
      <c r="B70" s="326"/>
      <c r="C70" s="65" t="s">
        <v>2072</v>
      </c>
      <c r="D70" s="65"/>
      <c r="E70" s="65">
        <v>1</v>
      </c>
      <c r="F70" s="65">
        <v>0</v>
      </c>
      <c r="G70" s="65">
        <f>E70*(F70/100+1)</f>
        <v>1</v>
      </c>
      <c r="H70" s="642">
        <f>ROUNDUP(G70,0)</f>
        <v>1</v>
      </c>
      <c r="I70" s="643">
        <v>50000</v>
      </c>
      <c r="J70" s="644">
        <f>H70*I70</f>
        <v>50000</v>
      </c>
      <c r="L70">
        <v>0.7</v>
      </c>
    </row>
    <row r="71" spans="2:12" ht="13.5" thickBot="1" x14ac:dyDescent="0.25">
      <c r="L71">
        <v>1.1000000000000001</v>
      </c>
    </row>
    <row r="72" spans="2:12" ht="13.5" thickBot="1" x14ac:dyDescent="0.25">
      <c r="I72" s="650" t="s">
        <v>2071</v>
      </c>
      <c r="J72" s="651">
        <f>SUM(J68:J70)</f>
        <v>388500</v>
      </c>
    </row>
    <row r="75" spans="2:12" x14ac:dyDescent="0.2">
      <c r="B75" t="s">
        <v>616</v>
      </c>
      <c r="C75" t="s">
        <v>1024</v>
      </c>
      <c r="D75" t="s">
        <v>2075</v>
      </c>
    </row>
    <row r="76" spans="2:12" x14ac:dyDescent="0.2">
      <c r="B76" t="s">
        <v>641</v>
      </c>
      <c r="C76">
        <v>12.92</v>
      </c>
      <c r="D76">
        <v>1</v>
      </c>
      <c r="E76">
        <f>C76-D76</f>
        <v>11.92</v>
      </c>
    </row>
    <row r="77" spans="2:12" x14ac:dyDescent="0.2">
      <c r="B77" t="s">
        <v>778</v>
      </c>
      <c r="C77">
        <v>9.5</v>
      </c>
      <c r="D77">
        <v>1</v>
      </c>
      <c r="E77">
        <f>C77-D77-D78</f>
        <v>6.25</v>
      </c>
    </row>
    <row r="78" spans="2:12" x14ac:dyDescent="0.2">
      <c r="D78">
        <v>2.25</v>
      </c>
    </row>
    <row r="79" spans="2:12" x14ac:dyDescent="0.2">
      <c r="B79" t="s">
        <v>633</v>
      </c>
      <c r="C79">
        <v>6</v>
      </c>
      <c r="D79">
        <v>0.75</v>
      </c>
      <c r="E79">
        <f>C79-D79</f>
        <v>5.25</v>
      </c>
    </row>
    <row r="80" spans="2:12" x14ac:dyDescent="0.2">
      <c r="B80" t="s">
        <v>1526</v>
      </c>
      <c r="C80">
        <v>8.82</v>
      </c>
      <c r="D80">
        <v>1</v>
      </c>
      <c r="E80">
        <f>C80-D80-D81-D82-D83</f>
        <v>4.57</v>
      </c>
    </row>
    <row r="81" spans="2:10" x14ac:dyDescent="0.2">
      <c r="D81">
        <v>0.75</v>
      </c>
      <c r="H81" s="819"/>
      <c r="I81" s="819"/>
      <c r="J81" s="819"/>
    </row>
    <row r="82" spans="2:10" x14ac:dyDescent="0.2">
      <c r="D82">
        <v>1</v>
      </c>
      <c r="H82" s="819"/>
      <c r="I82" s="819"/>
      <c r="J82" s="819"/>
    </row>
    <row r="83" spans="2:10" x14ac:dyDescent="0.2">
      <c r="D83">
        <v>1.5</v>
      </c>
      <c r="H83" s="819"/>
      <c r="I83" s="819"/>
      <c r="J83" s="819"/>
    </row>
    <row r="84" spans="2:10" x14ac:dyDescent="0.2">
      <c r="B84" t="s">
        <v>2054</v>
      </c>
      <c r="C84">
        <v>21.52</v>
      </c>
      <c r="D84">
        <v>5.2</v>
      </c>
      <c r="E84">
        <f>C84-D84-D85</f>
        <v>14.57</v>
      </c>
    </row>
    <row r="85" spans="2:10" x14ac:dyDescent="0.2">
      <c r="D85">
        <v>1.75</v>
      </c>
    </row>
    <row r="86" spans="2:10" x14ac:dyDescent="0.2">
      <c r="B86" t="s">
        <v>636</v>
      </c>
      <c r="C86">
        <v>28.6</v>
      </c>
      <c r="D86">
        <v>5.2</v>
      </c>
      <c r="E86">
        <f>C86-SUM(D86:D96)</f>
        <v>13.6</v>
      </c>
    </row>
    <row r="87" spans="2:10" x14ac:dyDescent="0.2">
      <c r="D87">
        <v>0.9</v>
      </c>
    </row>
    <row r="88" spans="2:10" x14ac:dyDescent="0.2">
      <c r="D88">
        <v>0.9</v>
      </c>
    </row>
    <row r="89" spans="2:10" x14ac:dyDescent="0.2">
      <c r="D89">
        <v>0.75</v>
      </c>
    </row>
    <row r="90" spans="2:10" x14ac:dyDescent="0.2">
      <c r="D90">
        <v>1.5</v>
      </c>
    </row>
    <row r="91" spans="2:10" x14ac:dyDescent="0.2">
      <c r="D91">
        <v>0.75</v>
      </c>
    </row>
    <row r="92" spans="2:10" x14ac:dyDescent="0.2">
      <c r="D92">
        <v>0.9</v>
      </c>
    </row>
    <row r="93" spans="2:10" x14ac:dyDescent="0.2">
      <c r="D93">
        <v>0.9</v>
      </c>
    </row>
    <row r="94" spans="2:10" x14ac:dyDescent="0.2">
      <c r="D94">
        <v>0.9</v>
      </c>
    </row>
    <row r="95" spans="2:10" x14ac:dyDescent="0.2">
      <c r="B95" t="s">
        <v>2073</v>
      </c>
      <c r="D95">
        <v>1.5</v>
      </c>
    </row>
    <row r="96" spans="2:10" ht="13.5" thickBot="1" x14ac:dyDescent="0.25">
      <c r="B96" t="s">
        <v>2074</v>
      </c>
      <c r="D96">
        <v>0.8</v>
      </c>
    </row>
    <row r="97" spans="2:10" ht="13.5" thickBot="1" x14ac:dyDescent="0.25">
      <c r="C97">
        <f>SUM(C76:C96)</f>
        <v>87.360000000000014</v>
      </c>
      <c r="D97">
        <f>SUM(D76:D96)</f>
        <v>31.199999999999992</v>
      </c>
      <c r="E97" s="652">
        <f>C97-D97</f>
        <v>56.160000000000025</v>
      </c>
    </row>
    <row r="100" spans="2:10" x14ac:dyDescent="0.2">
      <c r="C100" t="s">
        <v>614</v>
      </c>
      <c r="D100" t="s">
        <v>1524</v>
      </c>
      <c r="E100" t="s">
        <v>616</v>
      </c>
    </row>
    <row r="101" spans="2:10" x14ac:dyDescent="0.2">
      <c r="B101" t="s">
        <v>639</v>
      </c>
      <c r="C101" s="677">
        <v>4.43</v>
      </c>
      <c r="D101" s="677">
        <v>20.6</v>
      </c>
      <c r="E101" s="679"/>
    </row>
    <row r="102" spans="2:10" x14ac:dyDescent="0.2">
      <c r="B102" t="s">
        <v>634</v>
      </c>
      <c r="C102" s="677">
        <v>2.7</v>
      </c>
      <c r="D102" s="677">
        <v>12.5</v>
      </c>
      <c r="E102" s="679"/>
    </row>
    <row r="103" spans="2:10" x14ac:dyDescent="0.2">
      <c r="B103" t="s">
        <v>1525</v>
      </c>
      <c r="C103" s="677">
        <v>1.62</v>
      </c>
      <c r="D103" s="677">
        <v>6.84</v>
      </c>
      <c r="E103" s="679"/>
    </row>
    <row r="104" spans="2:10" x14ac:dyDescent="0.2">
      <c r="B104" t="s">
        <v>641</v>
      </c>
      <c r="C104" s="677">
        <v>9.17</v>
      </c>
      <c r="D104" s="677"/>
      <c r="E104" s="679">
        <v>11.9</v>
      </c>
    </row>
    <row r="105" spans="2:10" x14ac:dyDescent="0.2">
      <c r="B105" t="s">
        <v>778</v>
      </c>
      <c r="C105" s="677">
        <v>5.61</v>
      </c>
      <c r="D105" s="677"/>
      <c r="E105" s="679">
        <v>6.25</v>
      </c>
    </row>
    <row r="106" spans="2:10" x14ac:dyDescent="0.2">
      <c r="B106" t="s">
        <v>633</v>
      </c>
      <c r="C106" s="677">
        <v>2.16</v>
      </c>
      <c r="D106" s="677"/>
      <c r="E106" s="679">
        <v>5.25</v>
      </c>
    </row>
    <row r="107" spans="2:10" x14ac:dyDescent="0.2">
      <c r="C107" s="678">
        <f>SUM(C101:C106)</f>
        <v>25.69</v>
      </c>
      <c r="D107" s="678">
        <f>SUM(D101:D106)</f>
        <v>39.94</v>
      </c>
      <c r="E107" s="680">
        <f>SUM(E101:E106)</f>
        <v>23.4</v>
      </c>
    </row>
    <row r="108" spans="2:10" ht="13.5" thickBot="1" x14ac:dyDescent="0.25">
      <c r="B108" t="s">
        <v>1413</v>
      </c>
      <c r="C108" s="681">
        <v>2500</v>
      </c>
      <c r="D108" s="636">
        <v>2500</v>
      </c>
      <c r="E108" s="681">
        <v>700</v>
      </c>
    </row>
    <row r="109" spans="2:10" s="682" customFormat="1" ht="16.5" customHeight="1" thickBot="1" x14ac:dyDescent="0.25">
      <c r="B109" s="682" t="s">
        <v>2250</v>
      </c>
      <c r="C109" s="683">
        <f>C107*C108</f>
        <v>64225</v>
      </c>
      <c r="D109" s="683">
        <f>D107*D108</f>
        <v>99850</v>
      </c>
      <c r="E109" s="683">
        <f>E107*E108</f>
        <v>16379.999999999998</v>
      </c>
      <c r="F109" s="684">
        <f>SUM(C109:E109)</f>
        <v>180455</v>
      </c>
      <c r="I109" s="683"/>
      <c r="J109" s="683"/>
    </row>
  </sheetData>
  <mergeCells count="1">
    <mergeCell ref="M8:M9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Munka35"/>
  <dimension ref="B2:H20"/>
  <sheetViews>
    <sheetView workbookViewId="0">
      <selection activeCell="G16" sqref="G16"/>
    </sheetView>
  </sheetViews>
  <sheetFormatPr defaultRowHeight="12.75" x14ac:dyDescent="0.2"/>
  <cols>
    <col min="2" max="2" width="24" bestFit="1" customWidth="1"/>
    <col min="3" max="3" width="16.42578125" customWidth="1"/>
    <col min="4" max="4" width="16.7109375" customWidth="1"/>
    <col min="5" max="6" width="14.28515625" customWidth="1"/>
    <col min="7" max="7" width="17.85546875" customWidth="1"/>
    <col min="8" max="8" width="14.28515625" customWidth="1"/>
  </cols>
  <sheetData>
    <row r="2" spans="2:8" x14ac:dyDescent="0.2">
      <c r="C2" t="s">
        <v>2294</v>
      </c>
      <c r="D2" t="s">
        <v>2295</v>
      </c>
      <c r="E2" t="s">
        <v>2296</v>
      </c>
      <c r="F2" t="s">
        <v>2297</v>
      </c>
      <c r="G2" t="s">
        <v>2298</v>
      </c>
      <c r="H2" t="s">
        <v>2299</v>
      </c>
    </row>
    <row r="3" spans="2:8" x14ac:dyDescent="0.2">
      <c r="B3" t="s">
        <v>639</v>
      </c>
      <c r="C3" s="735">
        <v>4.43</v>
      </c>
      <c r="D3" s="677">
        <v>4.2699999999999996</v>
      </c>
      <c r="E3" s="735">
        <v>25.8</v>
      </c>
      <c r="F3" s="677">
        <v>25.1</v>
      </c>
      <c r="G3" s="679"/>
      <c r="H3" s="735">
        <v>0.315</v>
      </c>
    </row>
    <row r="4" spans="2:8" x14ac:dyDescent="0.2">
      <c r="B4" t="s">
        <v>634</v>
      </c>
      <c r="C4" s="735">
        <v>2.7</v>
      </c>
      <c r="D4" s="677">
        <v>2.5299999999999998</v>
      </c>
      <c r="E4" s="735">
        <v>12.5</v>
      </c>
      <c r="F4" s="677">
        <v>12</v>
      </c>
      <c r="G4" s="679"/>
      <c r="H4" s="735">
        <v>0.22500000000000001</v>
      </c>
    </row>
    <row r="5" spans="2:8" x14ac:dyDescent="0.2">
      <c r="B5" t="s">
        <v>1525</v>
      </c>
      <c r="C5" s="735">
        <v>1.62</v>
      </c>
      <c r="D5" s="677">
        <v>1.54</v>
      </c>
      <c r="E5" s="735">
        <v>6.84</v>
      </c>
      <c r="F5" s="677">
        <v>6.55</v>
      </c>
      <c r="G5" s="679"/>
    </row>
    <row r="6" spans="2:8" x14ac:dyDescent="0.2">
      <c r="B6" t="s">
        <v>641</v>
      </c>
      <c r="C6" s="735">
        <v>9.17</v>
      </c>
      <c r="D6" s="677">
        <v>8.98</v>
      </c>
      <c r="E6" s="677"/>
      <c r="F6" s="677"/>
      <c r="G6" s="734">
        <v>11.7</v>
      </c>
    </row>
    <row r="7" spans="2:8" x14ac:dyDescent="0.2">
      <c r="B7" t="s">
        <v>778</v>
      </c>
      <c r="C7" s="735">
        <v>5.61</v>
      </c>
      <c r="D7" s="677">
        <v>5.47</v>
      </c>
      <c r="E7" s="677"/>
      <c r="F7" s="677"/>
      <c r="G7" s="734">
        <v>6.2</v>
      </c>
    </row>
    <row r="8" spans="2:8" ht="13.5" thickBot="1" x14ac:dyDescent="0.25">
      <c r="B8" t="s">
        <v>633</v>
      </c>
      <c r="C8" s="735">
        <v>2.16</v>
      </c>
      <c r="D8" s="677">
        <v>2.0699999999999998</v>
      </c>
      <c r="E8" s="677"/>
      <c r="F8" s="677"/>
      <c r="G8" s="734">
        <v>5.25</v>
      </c>
    </row>
    <row r="9" spans="2:8" ht="13.5" thickBot="1" x14ac:dyDescent="0.25">
      <c r="B9" s="687" t="s">
        <v>545</v>
      </c>
      <c r="C9" s="688">
        <f t="shared" ref="C9:H9" si="0">SUM(C3:C8)</f>
        <v>25.69</v>
      </c>
      <c r="D9" s="774">
        <f t="shared" si="0"/>
        <v>24.86</v>
      </c>
      <c r="E9" s="688">
        <f t="shared" si="0"/>
        <v>45.14</v>
      </c>
      <c r="F9" s="774">
        <f t="shared" si="0"/>
        <v>43.65</v>
      </c>
      <c r="G9" s="778">
        <f t="shared" si="0"/>
        <v>23.15</v>
      </c>
      <c r="H9" s="775">
        <f t="shared" si="0"/>
        <v>0.54</v>
      </c>
    </row>
    <row r="10" spans="2:8" x14ac:dyDescent="0.2">
      <c r="C10" s="678"/>
      <c r="D10" s="678"/>
      <c r="E10" s="678"/>
      <c r="F10" s="678"/>
      <c r="G10" s="680"/>
    </row>
    <row r="11" spans="2:8" x14ac:dyDescent="0.2">
      <c r="B11" t="s">
        <v>2251</v>
      </c>
      <c r="C11" s="681">
        <v>2500</v>
      </c>
      <c r="D11" s="681">
        <v>2500</v>
      </c>
      <c r="E11" s="636">
        <v>2500</v>
      </c>
      <c r="F11" s="636">
        <v>2500</v>
      </c>
      <c r="G11" s="681">
        <v>700</v>
      </c>
      <c r="H11" s="681">
        <v>2500</v>
      </c>
    </row>
    <row r="12" spans="2:8" ht="13.5" thickBot="1" x14ac:dyDescent="0.25">
      <c r="C12" s="681"/>
      <c r="D12" s="681"/>
      <c r="E12" s="636"/>
      <c r="F12" s="636"/>
      <c r="G12" s="681"/>
    </row>
    <row r="13" spans="2:8" ht="13.5" thickBot="1" x14ac:dyDescent="0.25">
      <c r="B13" s="685" t="s">
        <v>545</v>
      </c>
      <c r="C13" s="686">
        <f t="shared" ref="C13:H13" si="1">C9*C11</f>
        <v>64225</v>
      </c>
      <c r="D13" s="776">
        <f t="shared" si="1"/>
        <v>62150</v>
      </c>
      <c r="E13" s="686">
        <f t="shared" si="1"/>
        <v>112850</v>
      </c>
      <c r="F13" s="776">
        <f t="shared" si="1"/>
        <v>109125</v>
      </c>
      <c r="G13" s="777">
        <f t="shared" si="1"/>
        <v>16204.999999999998</v>
      </c>
      <c r="H13" s="777">
        <f t="shared" si="1"/>
        <v>1350</v>
      </c>
    </row>
    <row r="16" spans="2:8" x14ac:dyDescent="0.2">
      <c r="B16" t="s">
        <v>711</v>
      </c>
      <c r="C16" s="677">
        <v>1.4</v>
      </c>
      <c r="G16" s="636">
        <f>D13+F13+G13+H13</f>
        <v>188830</v>
      </c>
    </row>
    <row r="17" spans="2:3" x14ac:dyDescent="0.2">
      <c r="B17" t="s">
        <v>2300</v>
      </c>
      <c r="C17" s="677">
        <v>1.36</v>
      </c>
    </row>
    <row r="18" spans="2:3" x14ac:dyDescent="0.2">
      <c r="B18" t="s">
        <v>2301</v>
      </c>
      <c r="C18" s="677">
        <v>2</v>
      </c>
    </row>
    <row r="19" spans="2:3" x14ac:dyDescent="0.2">
      <c r="B19" t="s">
        <v>2302</v>
      </c>
      <c r="C19" s="677">
        <v>0.9</v>
      </c>
    </row>
    <row r="20" spans="2:3" x14ac:dyDescent="0.2">
      <c r="B20" t="s">
        <v>2303</v>
      </c>
    </row>
  </sheetData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Munka36"/>
  <dimension ref="B2:J32"/>
  <sheetViews>
    <sheetView workbookViewId="0">
      <selection activeCell="B22" sqref="B22"/>
    </sheetView>
  </sheetViews>
  <sheetFormatPr defaultRowHeight="12.75" x14ac:dyDescent="0.2"/>
  <cols>
    <col min="2" max="2" width="18.42578125" bestFit="1" customWidth="1"/>
    <col min="3" max="3" width="13.7109375" hidden="1" customWidth="1"/>
    <col min="4" max="4" width="16.140625" customWidth="1"/>
    <col min="5" max="5" width="13.7109375" hidden="1" customWidth="1"/>
    <col min="6" max="8" width="13.7109375" customWidth="1"/>
  </cols>
  <sheetData>
    <row r="2" spans="2:10" x14ac:dyDescent="0.2">
      <c r="C2" t="s">
        <v>614</v>
      </c>
      <c r="D2" t="s">
        <v>614</v>
      </c>
      <c r="E2" t="s">
        <v>1524</v>
      </c>
      <c r="F2" t="s">
        <v>1524</v>
      </c>
      <c r="G2" t="s">
        <v>616</v>
      </c>
    </row>
    <row r="3" spans="2:10" x14ac:dyDescent="0.2">
      <c r="B3" t="s">
        <v>2252</v>
      </c>
      <c r="C3" s="677"/>
      <c r="D3" s="677">
        <v>28.53</v>
      </c>
      <c r="E3" s="677"/>
      <c r="F3" s="677">
        <v>2.5499999999999998</v>
      </c>
      <c r="G3" s="782" t="s">
        <v>789</v>
      </c>
      <c r="I3" s="664" t="s">
        <v>2386</v>
      </c>
      <c r="J3" s="665">
        <v>1.6</v>
      </c>
    </row>
    <row r="4" spans="2:10" x14ac:dyDescent="0.2">
      <c r="B4" t="s">
        <v>1526</v>
      </c>
      <c r="C4" s="677"/>
      <c r="D4" s="677">
        <v>4.21</v>
      </c>
      <c r="E4" s="677"/>
      <c r="F4" s="677"/>
      <c r="G4" s="679">
        <v>4.3</v>
      </c>
      <c r="I4" s="666" t="s">
        <v>2388</v>
      </c>
      <c r="J4" s="667">
        <v>2.95</v>
      </c>
    </row>
    <row r="5" spans="2:10" x14ac:dyDescent="0.2">
      <c r="B5" t="s">
        <v>778</v>
      </c>
      <c r="C5" s="677"/>
      <c r="D5" s="677"/>
      <c r="E5" s="677"/>
      <c r="F5" s="677">
        <v>3.1</v>
      </c>
      <c r="G5" s="679"/>
      <c r="I5" s="666"/>
      <c r="J5" s="667">
        <v>0.5</v>
      </c>
    </row>
    <row r="6" spans="2:10" ht="13.5" thickBot="1" x14ac:dyDescent="0.25">
      <c r="B6" t="s">
        <v>636</v>
      </c>
      <c r="C6" s="677"/>
      <c r="D6" s="677">
        <v>14.31</v>
      </c>
      <c r="E6" s="677"/>
      <c r="F6" s="677"/>
      <c r="G6" s="679">
        <v>13.6</v>
      </c>
      <c r="I6" s="666"/>
      <c r="J6" s="667">
        <v>0.45</v>
      </c>
    </row>
    <row r="7" spans="2:10" ht="13.5" thickBot="1" x14ac:dyDescent="0.25">
      <c r="B7" s="687" t="s">
        <v>545</v>
      </c>
      <c r="C7" s="688">
        <f>SUM(C3:C6)</f>
        <v>0</v>
      </c>
      <c r="D7" s="688">
        <f>SUM(D3:D6)</f>
        <v>47.050000000000004</v>
      </c>
      <c r="E7" s="688">
        <f>SUM(E3:E6)</f>
        <v>0</v>
      </c>
      <c r="F7" s="688">
        <f>SUM(F3:F6)</f>
        <v>5.65</v>
      </c>
      <c r="G7" s="689">
        <f>SUM(G3:G6)</f>
        <v>17.899999999999999</v>
      </c>
      <c r="I7" s="666"/>
      <c r="J7" s="667">
        <v>0.45</v>
      </c>
    </row>
    <row r="8" spans="2:10" x14ac:dyDescent="0.2">
      <c r="C8" s="678"/>
      <c r="D8" s="678"/>
      <c r="E8" s="678"/>
      <c r="F8" s="678"/>
      <c r="G8" s="680"/>
      <c r="I8" s="666"/>
      <c r="J8" s="667">
        <v>0.65</v>
      </c>
    </row>
    <row r="9" spans="2:10" x14ac:dyDescent="0.2">
      <c r="B9" t="s">
        <v>2251</v>
      </c>
      <c r="C9" s="681">
        <v>2500</v>
      </c>
      <c r="D9" s="681">
        <v>2500</v>
      </c>
      <c r="E9" s="636">
        <v>2500</v>
      </c>
      <c r="F9" s="636">
        <v>2500</v>
      </c>
      <c r="G9" s="681">
        <v>700</v>
      </c>
      <c r="I9" s="666"/>
      <c r="J9" s="667">
        <v>1.95</v>
      </c>
    </row>
    <row r="10" spans="2:10" ht="13.5" thickBot="1" x14ac:dyDescent="0.25">
      <c r="C10" s="681"/>
      <c r="D10" s="681"/>
      <c r="E10" s="636"/>
      <c r="F10" s="636"/>
      <c r="G10" s="681"/>
      <c r="I10" s="666"/>
      <c r="J10" s="667">
        <v>0.85</v>
      </c>
    </row>
    <row r="11" spans="2:10" ht="13.5" thickBot="1" x14ac:dyDescent="0.25">
      <c r="B11" s="685" t="s">
        <v>545</v>
      </c>
      <c r="C11" s="686">
        <f>C7*C9</f>
        <v>0</v>
      </c>
      <c r="D11" s="686">
        <f>D7*D9</f>
        <v>117625.00000000001</v>
      </c>
      <c r="E11" s="686">
        <f>E7*E9</f>
        <v>0</v>
      </c>
      <c r="F11" s="686">
        <f>F7*F9</f>
        <v>14125</v>
      </c>
      <c r="G11" s="686">
        <f>G7*G9</f>
        <v>12529.999999999998</v>
      </c>
      <c r="H11" s="780">
        <f>D11+F11+G11</f>
        <v>144280</v>
      </c>
      <c r="I11" s="666"/>
      <c r="J11" s="667">
        <v>0.1</v>
      </c>
    </row>
    <row r="12" spans="2:10" x14ac:dyDescent="0.2">
      <c r="I12" s="666"/>
      <c r="J12" s="667">
        <v>2.6</v>
      </c>
    </row>
    <row r="13" spans="2:10" x14ac:dyDescent="0.2">
      <c r="I13" s="666"/>
      <c r="J13" s="667">
        <v>2.1</v>
      </c>
    </row>
    <row r="14" spans="2:10" x14ac:dyDescent="0.2">
      <c r="B14" t="s">
        <v>2336</v>
      </c>
      <c r="D14" s="617">
        <v>85600</v>
      </c>
      <c r="I14" s="666"/>
      <c r="J14" s="667">
        <v>0.1</v>
      </c>
    </row>
    <row r="15" spans="2:10" x14ac:dyDescent="0.2">
      <c r="B15" t="s">
        <v>2340</v>
      </c>
      <c r="D15" s="617">
        <v>6750</v>
      </c>
      <c r="I15" s="668"/>
      <c r="J15" s="779">
        <f>SUM(J3:J14)</f>
        <v>14.299999999999999</v>
      </c>
    </row>
    <row r="16" spans="2:10" x14ac:dyDescent="0.2">
      <c r="B16" t="s">
        <v>2382</v>
      </c>
      <c r="D16" s="617">
        <v>75000</v>
      </c>
    </row>
    <row r="17" spans="2:10" x14ac:dyDescent="0.2">
      <c r="B17" t="s">
        <v>2341</v>
      </c>
      <c r="D17" s="617">
        <v>45500</v>
      </c>
    </row>
    <row r="18" spans="2:10" x14ac:dyDescent="0.2">
      <c r="B18" t="s">
        <v>3637</v>
      </c>
      <c r="D18" s="617">
        <v>15000</v>
      </c>
      <c r="I18" s="664" t="s">
        <v>2386</v>
      </c>
      <c r="J18" s="665">
        <v>0.65</v>
      </c>
    </row>
    <row r="19" spans="2:10" x14ac:dyDescent="0.2">
      <c r="B19" t="s">
        <v>2257</v>
      </c>
      <c r="D19" s="617">
        <v>10000</v>
      </c>
      <c r="I19" s="666" t="s">
        <v>2387</v>
      </c>
      <c r="J19" s="667">
        <v>0.8</v>
      </c>
    </row>
    <row r="20" spans="2:10" x14ac:dyDescent="0.2">
      <c r="D20" s="736">
        <f>SUM(D14:D19)</f>
        <v>237850</v>
      </c>
      <c r="I20" s="666"/>
      <c r="J20" s="667">
        <v>0.25</v>
      </c>
    </row>
    <row r="21" spans="2:10" x14ac:dyDescent="0.2">
      <c r="I21" s="666"/>
      <c r="J21" s="667">
        <v>1.45</v>
      </c>
    </row>
    <row r="22" spans="2:10" x14ac:dyDescent="0.2">
      <c r="I22" s="666"/>
      <c r="J22" s="667">
        <v>0.2</v>
      </c>
    </row>
    <row r="23" spans="2:10" x14ac:dyDescent="0.2">
      <c r="I23" s="666"/>
      <c r="J23" s="667">
        <v>0.1</v>
      </c>
    </row>
    <row r="24" spans="2:10" x14ac:dyDescent="0.2">
      <c r="I24" s="666"/>
      <c r="J24" s="667">
        <v>0.2</v>
      </c>
    </row>
    <row r="25" spans="2:10" x14ac:dyDescent="0.2">
      <c r="I25" s="668"/>
      <c r="J25" s="779">
        <f>SUM(J18:J24)</f>
        <v>3.6500000000000008</v>
      </c>
    </row>
    <row r="26" spans="2:10" ht="13.5" thickBot="1" x14ac:dyDescent="0.25"/>
    <row r="27" spans="2:10" x14ac:dyDescent="0.2">
      <c r="B27" s="645" t="s">
        <v>2875</v>
      </c>
      <c r="C27" s="64"/>
      <c r="D27" s="64"/>
      <c r="E27" s="64"/>
      <c r="F27" s="64"/>
      <c r="G27" s="64"/>
      <c r="H27" s="64"/>
      <c r="I27" s="64"/>
      <c r="J27" s="323"/>
    </row>
    <row r="28" spans="2:10" x14ac:dyDescent="0.2">
      <c r="B28" s="55" t="s">
        <v>2346</v>
      </c>
      <c r="C28" s="47"/>
      <c r="D28" s="47">
        <v>2.85</v>
      </c>
      <c r="E28" s="47"/>
      <c r="F28" s="47">
        <v>2.85</v>
      </c>
      <c r="G28" s="47">
        <v>4</v>
      </c>
      <c r="H28" s="47">
        <v>1.2</v>
      </c>
      <c r="I28" s="47">
        <v>3.1</v>
      </c>
      <c r="J28" s="916">
        <f>SUM(D28:I28)</f>
        <v>13.999999999999998</v>
      </c>
    </row>
    <row r="29" spans="2:10" x14ac:dyDescent="0.2">
      <c r="B29" s="55" t="s">
        <v>797</v>
      </c>
      <c r="C29" s="47"/>
      <c r="D29" s="47">
        <v>2.8</v>
      </c>
      <c r="E29" s="47"/>
      <c r="F29" s="47">
        <v>2.8</v>
      </c>
      <c r="G29" s="47">
        <v>3.25</v>
      </c>
      <c r="H29" s="47">
        <v>2.35</v>
      </c>
      <c r="I29" s="47"/>
      <c r="J29" s="916">
        <f>SUM(D29:I29)</f>
        <v>11.2</v>
      </c>
    </row>
    <row r="30" spans="2:10" x14ac:dyDescent="0.2">
      <c r="B30" s="55" t="s">
        <v>2345</v>
      </c>
      <c r="C30" s="47"/>
      <c r="D30" s="47">
        <v>2.8</v>
      </c>
      <c r="E30" s="47"/>
      <c r="F30" s="47">
        <v>2.8</v>
      </c>
      <c r="G30" s="47">
        <v>3.45</v>
      </c>
      <c r="H30" s="47">
        <v>2.5499999999999998</v>
      </c>
      <c r="I30" s="47"/>
      <c r="J30" s="916">
        <f>SUM(D30:I30)</f>
        <v>11.600000000000001</v>
      </c>
    </row>
    <row r="31" spans="2:10" x14ac:dyDescent="0.2">
      <c r="B31" s="55" t="s">
        <v>632</v>
      </c>
      <c r="C31" s="47"/>
      <c r="D31" s="47">
        <v>2.65</v>
      </c>
      <c r="E31" s="47"/>
      <c r="F31" s="47">
        <v>2.65</v>
      </c>
      <c r="G31" s="47">
        <v>4</v>
      </c>
      <c r="H31" s="47"/>
      <c r="I31" s="47">
        <v>3.1</v>
      </c>
      <c r="J31" s="916">
        <f>SUM(D31:I31)</f>
        <v>12.4</v>
      </c>
    </row>
    <row r="32" spans="2:10" ht="13.5" thickBot="1" x14ac:dyDescent="0.25">
      <c r="B32" s="326"/>
      <c r="C32" s="65"/>
      <c r="D32" s="65"/>
      <c r="E32" s="65"/>
      <c r="F32" s="65"/>
      <c r="G32" s="65"/>
      <c r="H32" s="65"/>
      <c r="I32" s="65"/>
      <c r="J32" s="917">
        <f>SUM(J28:J31)</f>
        <v>49.199999999999996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Munka7"/>
  <dimension ref="A1:W88"/>
  <sheetViews>
    <sheetView topLeftCell="A13" zoomScale="85" zoomScaleNormal="85" workbookViewId="0">
      <selection activeCell="P34" sqref="P34"/>
    </sheetView>
  </sheetViews>
  <sheetFormatPr defaultRowHeight="12.75" outlineLevelRow="1" x14ac:dyDescent="0.2"/>
  <cols>
    <col min="1" max="1" width="8" bestFit="1" customWidth="1"/>
    <col min="2" max="2" width="14.42578125" style="1" bestFit="1" customWidth="1"/>
    <col min="3" max="4" width="8.7109375" customWidth="1"/>
    <col min="5" max="5" width="16.7109375" bestFit="1" customWidth="1"/>
    <col min="6" max="6" width="9" hidden="1" customWidth="1"/>
    <col min="7" max="7" width="8.28515625" style="1" bestFit="1" customWidth="1"/>
    <col min="8" max="8" width="9.85546875" style="2" bestFit="1" customWidth="1"/>
    <col min="9" max="9" width="11.42578125" style="2" bestFit="1" customWidth="1"/>
    <col min="10" max="10" width="20.85546875" bestFit="1" customWidth="1"/>
    <col min="11" max="11" width="11.42578125" style="11" bestFit="1" customWidth="1"/>
    <col min="12" max="12" width="9.140625" style="70" bestFit="1"/>
    <col min="13" max="13" width="12.7109375" style="70" bestFit="1" customWidth="1"/>
    <col min="14" max="15" width="9.140625" style="70"/>
    <col min="16" max="16" width="11.7109375" bestFit="1" customWidth="1"/>
    <col min="17" max="18" width="11.140625" customWidth="1"/>
    <col min="19" max="19" width="5.85546875" style="1" customWidth="1"/>
    <col min="20" max="20" width="15.42578125" style="81" customWidth="1"/>
    <col min="21" max="21" width="10.42578125" style="82" bestFit="1" customWidth="1"/>
  </cols>
  <sheetData>
    <row r="1" spans="1:21" x14ac:dyDescent="0.2">
      <c r="A1" s="4"/>
      <c r="B1" s="5" t="s">
        <v>721</v>
      </c>
      <c r="C1" s="5" t="s">
        <v>860</v>
      </c>
      <c r="D1" s="5" t="s">
        <v>859</v>
      </c>
      <c r="E1" s="5" t="s">
        <v>722</v>
      </c>
      <c r="F1" s="4" t="s">
        <v>609</v>
      </c>
      <c r="G1" s="4" t="s">
        <v>723</v>
      </c>
      <c r="H1" s="10" t="s">
        <v>726</v>
      </c>
      <c r="I1" s="22" t="s">
        <v>915</v>
      </c>
      <c r="J1" s="1" t="s">
        <v>727</v>
      </c>
      <c r="K1" s="12" t="s">
        <v>728</v>
      </c>
      <c r="L1" s="70" t="s">
        <v>910</v>
      </c>
      <c r="M1" s="1124" t="s">
        <v>2000</v>
      </c>
      <c r="N1" s="1124"/>
      <c r="O1" s="1124"/>
      <c r="P1" t="s">
        <v>957</v>
      </c>
      <c r="Q1" s="70" t="s">
        <v>958</v>
      </c>
      <c r="R1" s="70" t="s">
        <v>1515</v>
      </c>
      <c r="T1" s="79" t="s">
        <v>937</v>
      </c>
      <c r="U1" s="80">
        <v>10</v>
      </c>
    </row>
    <row r="2" spans="1:21" ht="13.5" thickBot="1" x14ac:dyDescent="0.25">
      <c r="A2" s="4"/>
      <c r="B2" s="5"/>
      <c r="C2" s="5"/>
      <c r="D2" s="5"/>
      <c r="E2" s="5"/>
      <c r="F2" s="4"/>
      <c r="G2" s="4"/>
      <c r="H2" s="9"/>
      <c r="M2" s="70" t="s">
        <v>2001</v>
      </c>
      <c r="N2" s="70" t="s">
        <v>2002</v>
      </c>
      <c r="O2" s="70" t="s">
        <v>2003</v>
      </c>
    </row>
    <row r="3" spans="1:21" ht="13.5" thickBot="1" x14ac:dyDescent="0.25">
      <c r="A3" s="4"/>
      <c r="B3" s="5"/>
      <c r="C3" s="5"/>
      <c r="D3" s="5"/>
      <c r="E3" s="5"/>
      <c r="F3" s="4"/>
      <c r="G3" s="4"/>
      <c r="H3" s="9"/>
      <c r="K3" s="26">
        <f>K5+K47</f>
        <v>2144069</v>
      </c>
      <c r="L3" s="71"/>
      <c r="M3" s="71"/>
      <c r="N3" s="71"/>
      <c r="O3" s="71"/>
    </row>
    <row r="4" spans="1:21" x14ac:dyDescent="0.2">
      <c r="A4" s="4"/>
      <c r="B4" s="5"/>
      <c r="C4" s="5"/>
      <c r="D4" s="5"/>
      <c r="E4" s="5"/>
      <c r="F4" s="4"/>
      <c r="G4" s="4"/>
      <c r="H4" s="9"/>
      <c r="I4" s="3"/>
      <c r="K4" s="24"/>
    </row>
    <row r="5" spans="1:21" ht="13.5" thickBot="1" x14ac:dyDescent="0.25">
      <c r="A5" s="32" t="s">
        <v>725</v>
      </c>
      <c r="B5" s="33" t="s">
        <v>934</v>
      </c>
      <c r="C5" s="33"/>
      <c r="D5" s="33"/>
      <c r="E5" s="34"/>
      <c r="F5" s="35"/>
      <c r="G5" s="35"/>
      <c r="H5" s="377"/>
      <c r="I5" s="372" t="s">
        <v>39</v>
      </c>
      <c r="J5" s="376" t="s">
        <v>40</v>
      </c>
      <c r="K5" s="37">
        <f>SUM(K6:K28)*0.75</f>
        <v>1533405</v>
      </c>
      <c r="L5" s="72"/>
      <c r="M5" s="72"/>
      <c r="N5" s="72"/>
      <c r="O5" s="72"/>
    </row>
    <row r="6" spans="1:21" ht="15" customHeight="1" outlineLevel="1" thickBot="1" x14ac:dyDescent="0.25">
      <c r="A6" s="4"/>
      <c r="B6" s="5" t="s">
        <v>630</v>
      </c>
      <c r="C6" s="5">
        <v>174</v>
      </c>
      <c r="D6" s="5">
        <v>204</v>
      </c>
      <c r="E6" s="5" t="s">
        <v>1143</v>
      </c>
      <c r="F6" s="4" t="s">
        <v>642</v>
      </c>
      <c r="G6" s="4">
        <v>2</v>
      </c>
      <c r="H6" s="371">
        <v>128585</v>
      </c>
      <c r="I6" s="2">
        <v>0</v>
      </c>
      <c r="J6" s="2">
        <f t="shared" ref="J6:J11" si="0">H6+I6</f>
        <v>128585</v>
      </c>
      <c r="K6" s="24">
        <f t="shared" ref="K6:K11" si="1">J6*G6</f>
        <v>257170</v>
      </c>
      <c r="L6" s="70" t="s">
        <v>911</v>
      </c>
      <c r="M6" s="70">
        <v>172</v>
      </c>
      <c r="N6" s="70">
        <v>24</v>
      </c>
      <c r="O6" s="70">
        <v>1.5</v>
      </c>
      <c r="P6">
        <f t="shared" ref="P6:P11" si="2">(C6)*(D6)*G6/10000</f>
        <v>7.0991999999999997</v>
      </c>
      <c r="Q6" s="86">
        <f t="shared" ref="Q6:Q11" si="3">(C6-$U$1)*(D6-$U$1)*G6/10000</f>
        <v>6.3632</v>
      </c>
      <c r="R6" s="47">
        <f>(C6+D6)*2*G6/100</f>
        <v>15.12</v>
      </c>
    </row>
    <row r="7" spans="1:21" ht="15" customHeight="1" outlineLevel="1" x14ac:dyDescent="0.2">
      <c r="A7" s="4"/>
      <c r="B7" s="5"/>
      <c r="C7" s="5">
        <v>174</v>
      </c>
      <c r="D7" s="5">
        <v>234</v>
      </c>
      <c r="E7" s="5" t="s">
        <v>37</v>
      </c>
      <c r="F7" s="4" t="s">
        <v>642</v>
      </c>
      <c r="G7" s="4">
        <v>1</v>
      </c>
      <c r="H7" s="371">
        <v>202705</v>
      </c>
      <c r="I7" s="2">
        <v>0</v>
      </c>
      <c r="J7" s="2">
        <f t="shared" si="0"/>
        <v>202705</v>
      </c>
      <c r="K7" s="24">
        <f t="shared" si="1"/>
        <v>202705</v>
      </c>
      <c r="L7" s="70" t="s">
        <v>911</v>
      </c>
      <c r="P7">
        <f t="shared" si="2"/>
        <v>4.0716000000000001</v>
      </c>
      <c r="Q7" s="86">
        <f t="shared" si="3"/>
        <v>3.6736</v>
      </c>
      <c r="R7" s="47">
        <f>(C7+(D7)*2)*G7/100</f>
        <v>6.42</v>
      </c>
    </row>
    <row r="8" spans="1:21" ht="15" customHeight="1" outlineLevel="1" x14ac:dyDescent="0.2">
      <c r="A8" s="4"/>
      <c r="B8" s="5" t="s">
        <v>632</v>
      </c>
      <c r="C8" s="5">
        <v>144</v>
      </c>
      <c r="D8" s="5">
        <v>144</v>
      </c>
      <c r="E8" s="5" t="s">
        <v>38</v>
      </c>
      <c r="F8" s="4" t="s">
        <v>642</v>
      </c>
      <c r="G8" s="4">
        <v>1</v>
      </c>
      <c r="H8" s="9">
        <v>132825</v>
      </c>
      <c r="I8" s="2">
        <v>0</v>
      </c>
      <c r="J8" s="2">
        <f t="shared" si="0"/>
        <v>132825</v>
      </c>
      <c r="K8" s="24">
        <f t="shared" si="1"/>
        <v>132825</v>
      </c>
      <c r="L8" s="70" t="s">
        <v>911</v>
      </c>
      <c r="M8" s="70">
        <v>142</v>
      </c>
      <c r="N8" s="70">
        <v>23</v>
      </c>
      <c r="O8" s="70">
        <v>1.5</v>
      </c>
      <c r="P8">
        <f t="shared" si="2"/>
        <v>2.0735999999999999</v>
      </c>
      <c r="Q8" s="87">
        <f t="shared" si="3"/>
        <v>1.7956000000000001</v>
      </c>
      <c r="R8" s="47">
        <f>(C8+D8)*2*G8/100</f>
        <v>5.76</v>
      </c>
    </row>
    <row r="9" spans="1:21" ht="15" customHeight="1" outlineLevel="1" x14ac:dyDescent="0.2">
      <c r="A9" s="4"/>
      <c r="B9" s="5" t="s">
        <v>685</v>
      </c>
      <c r="C9" s="5">
        <v>144</v>
      </c>
      <c r="D9" s="5">
        <v>144</v>
      </c>
      <c r="E9" s="5" t="s">
        <v>38</v>
      </c>
      <c r="F9" s="4" t="s">
        <v>642</v>
      </c>
      <c r="G9" s="4">
        <v>1</v>
      </c>
      <c r="H9" s="9">
        <v>132825</v>
      </c>
      <c r="I9" s="2">
        <v>0</v>
      </c>
      <c r="J9" s="2">
        <f t="shared" si="0"/>
        <v>132825</v>
      </c>
      <c r="K9" s="24">
        <f t="shared" si="1"/>
        <v>132825</v>
      </c>
      <c r="L9" s="70" t="s">
        <v>911</v>
      </c>
      <c r="M9" s="70">
        <v>142</v>
      </c>
      <c r="N9" s="70">
        <v>23</v>
      </c>
      <c r="O9" s="70">
        <v>1.5</v>
      </c>
      <c r="P9">
        <f t="shared" si="2"/>
        <v>2.0735999999999999</v>
      </c>
      <c r="Q9" s="87">
        <f t="shared" si="3"/>
        <v>1.7956000000000001</v>
      </c>
      <c r="R9" s="47">
        <f>(C9+D9)*2*G9/100</f>
        <v>5.76</v>
      </c>
    </row>
    <row r="10" spans="1:21" ht="15" customHeight="1" outlineLevel="1" x14ac:dyDescent="0.2">
      <c r="A10" s="4"/>
      <c r="B10" s="5" t="s">
        <v>797</v>
      </c>
      <c r="C10" s="5">
        <v>144</v>
      </c>
      <c r="D10" s="5">
        <v>144</v>
      </c>
      <c r="E10" s="5" t="s">
        <v>38</v>
      </c>
      <c r="F10" s="4" t="s">
        <v>642</v>
      </c>
      <c r="G10" s="4">
        <v>1</v>
      </c>
      <c r="H10" s="9">
        <v>132825</v>
      </c>
      <c r="I10" s="2">
        <v>0</v>
      </c>
      <c r="J10" s="2">
        <f t="shared" si="0"/>
        <v>132825</v>
      </c>
      <c r="K10" s="24">
        <f t="shared" si="1"/>
        <v>132825</v>
      </c>
      <c r="L10" s="70" t="s">
        <v>911</v>
      </c>
      <c r="M10" s="70">
        <v>142</v>
      </c>
      <c r="N10" s="70">
        <v>23</v>
      </c>
      <c r="O10" s="70">
        <v>1.5</v>
      </c>
      <c r="P10">
        <f t="shared" si="2"/>
        <v>2.0735999999999999</v>
      </c>
      <c r="Q10" s="87">
        <f t="shared" si="3"/>
        <v>1.7956000000000001</v>
      </c>
      <c r="R10" s="47">
        <f>(C10+D10)*2*G10/100</f>
        <v>5.76</v>
      </c>
    </row>
    <row r="11" spans="1:21" ht="15" customHeight="1" outlineLevel="1" x14ac:dyDescent="0.2">
      <c r="A11" s="4"/>
      <c r="B11" s="5" t="s">
        <v>637</v>
      </c>
      <c r="C11" s="5">
        <v>144</v>
      </c>
      <c r="D11" s="5">
        <v>144</v>
      </c>
      <c r="E11" s="5" t="s">
        <v>38</v>
      </c>
      <c r="F11" s="4" t="s">
        <v>642</v>
      </c>
      <c r="G11" s="4">
        <v>1</v>
      </c>
      <c r="H11" s="9">
        <v>132825</v>
      </c>
      <c r="I11" s="2">
        <v>0</v>
      </c>
      <c r="J11" s="2">
        <f t="shared" si="0"/>
        <v>132825</v>
      </c>
      <c r="K11" s="24">
        <f t="shared" si="1"/>
        <v>132825</v>
      </c>
      <c r="L11" s="70" t="s">
        <v>911</v>
      </c>
      <c r="M11" s="70">
        <v>142</v>
      </c>
      <c r="N11" s="70">
        <v>23</v>
      </c>
      <c r="O11" s="70">
        <v>1.5</v>
      </c>
      <c r="P11">
        <f t="shared" si="2"/>
        <v>2.0735999999999999</v>
      </c>
      <c r="Q11" s="87">
        <f t="shared" si="3"/>
        <v>1.7956000000000001</v>
      </c>
      <c r="R11" s="47">
        <f>(C11+D11)*2*G11/100</f>
        <v>5.76</v>
      </c>
    </row>
    <row r="12" spans="1:21" ht="15" customHeight="1" outlineLevel="1" thickBot="1" x14ac:dyDescent="0.25">
      <c r="A12" s="4"/>
      <c r="B12" s="5"/>
      <c r="C12" s="5"/>
      <c r="D12" s="5"/>
      <c r="E12" s="5"/>
      <c r="F12" s="4"/>
      <c r="G12" s="4"/>
      <c r="H12" s="9"/>
      <c r="J12" s="2"/>
      <c r="K12" s="24"/>
      <c r="P12" s="88">
        <f>SUM(P6:P8)</f>
        <v>13.244399999999999</v>
      </c>
      <c r="Q12" s="88">
        <f>SUM(Q6:Q8)</f>
        <v>11.8324</v>
      </c>
      <c r="R12" s="88">
        <f>SUM(R6:R11)</f>
        <v>44.579999999999991</v>
      </c>
    </row>
    <row r="13" spans="1:21" ht="15" customHeight="1" outlineLevel="1" thickBot="1" x14ac:dyDescent="0.25">
      <c r="A13" s="4"/>
      <c r="B13" s="5"/>
      <c r="C13" s="5"/>
      <c r="D13" s="5"/>
      <c r="E13" s="5"/>
      <c r="F13" s="4"/>
      <c r="G13" s="4"/>
      <c r="H13" s="9"/>
      <c r="J13" s="2"/>
      <c r="K13" s="24"/>
      <c r="S13"/>
    </row>
    <row r="14" spans="1:21" ht="15" customHeight="1" outlineLevel="1" x14ac:dyDescent="0.2">
      <c r="A14" s="4"/>
      <c r="B14" s="5" t="s">
        <v>630</v>
      </c>
      <c r="C14" s="5">
        <v>114</v>
      </c>
      <c r="D14" s="5">
        <v>204</v>
      </c>
      <c r="E14" s="5" t="s">
        <v>36</v>
      </c>
      <c r="F14" s="4" t="s">
        <v>642</v>
      </c>
      <c r="G14" s="4">
        <v>1</v>
      </c>
      <c r="H14" s="371">
        <v>86595</v>
      </c>
      <c r="I14" s="2">
        <v>0</v>
      </c>
      <c r="J14" s="2">
        <f>H14+I14</f>
        <v>86595</v>
      </c>
      <c r="K14" s="24">
        <f>J14*G14</f>
        <v>86595</v>
      </c>
      <c r="L14" s="70" t="s">
        <v>912</v>
      </c>
      <c r="M14" s="70">
        <v>112</v>
      </c>
      <c r="N14" s="70">
        <v>24</v>
      </c>
      <c r="O14" s="70">
        <v>1.5</v>
      </c>
      <c r="P14">
        <f>(C14)*(D14)*G14/10000</f>
        <v>2.3256000000000001</v>
      </c>
      <c r="Q14" s="86">
        <f>(C14-$U$1)*(D14-$U$1)*G14/10000</f>
        <v>2.0175999999999998</v>
      </c>
      <c r="R14" s="47">
        <f>(C14+D14)*2*G14/100</f>
        <v>6.36</v>
      </c>
    </row>
    <row r="15" spans="1:21" ht="15" customHeight="1" outlineLevel="1" x14ac:dyDescent="0.2">
      <c r="A15" s="4"/>
      <c r="B15" s="5" t="s">
        <v>637</v>
      </c>
      <c r="C15" s="5">
        <v>114</v>
      </c>
      <c r="D15" s="5">
        <v>144</v>
      </c>
      <c r="E15" s="5" t="s">
        <v>35</v>
      </c>
      <c r="F15" s="4" t="s">
        <v>642</v>
      </c>
      <c r="G15" s="4">
        <v>1</v>
      </c>
      <c r="H15" s="371">
        <v>62370</v>
      </c>
      <c r="I15" s="2">
        <v>0</v>
      </c>
      <c r="J15" s="2">
        <f>H15+I15</f>
        <v>62370</v>
      </c>
      <c r="K15" s="24">
        <f>J15*G15</f>
        <v>62370</v>
      </c>
      <c r="L15" s="70" t="s">
        <v>912</v>
      </c>
      <c r="M15" s="70">
        <v>112</v>
      </c>
      <c r="N15" s="70">
        <v>23</v>
      </c>
      <c r="O15" s="70">
        <v>1.5</v>
      </c>
      <c r="P15">
        <f>(C15)*(D15)*G15/10000</f>
        <v>1.6415999999999999</v>
      </c>
      <c r="Q15" s="87">
        <f>(C15-$U$1)*(D15-$U$1)*G15/10000</f>
        <v>1.3935999999999999</v>
      </c>
      <c r="R15" s="47">
        <f>(C15+D15)*2*G15/100</f>
        <v>5.16</v>
      </c>
    </row>
    <row r="16" spans="1:21" ht="15" customHeight="1" outlineLevel="1" x14ac:dyDescent="0.2">
      <c r="A16" s="4"/>
      <c r="B16" s="5" t="s">
        <v>639</v>
      </c>
      <c r="C16" s="5">
        <v>114</v>
      </c>
      <c r="D16" s="5">
        <v>60</v>
      </c>
      <c r="E16" s="5" t="s">
        <v>1045</v>
      </c>
      <c r="F16" s="4" t="s">
        <v>642</v>
      </c>
      <c r="G16" s="4">
        <v>1</v>
      </c>
      <c r="H16" s="9">
        <v>55680</v>
      </c>
      <c r="I16" s="2">
        <v>0</v>
      </c>
      <c r="J16" s="2">
        <f>H16+I16</f>
        <v>55680</v>
      </c>
      <c r="K16" s="24">
        <f>J16*G16</f>
        <v>55680</v>
      </c>
      <c r="L16" s="70" t="s">
        <v>912</v>
      </c>
      <c r="N16" s="70">
        <v>23</v>
      </c>
      <c r="O16" s="70">
        <v>1.5</v>
      </c>
      <c r="P16">
        <f>(C16)*(D16)*G16/10000</f>
        <v>0.68400000000000005</v>
      </c>
      <c r="Q16" s="87">
        <f>(C16-$U$1)*(D16-$U$1)*G16/10000</f>
        <v>0.52</v>
      </c>
      <c r="R16" s="47">
        <f>(C16+D16)*2*G16/100</f>
        <v>3.48</v>
      </c>
    </row>
    <row r="17" spans="1:18" ht="15" customHeight="1" outlineLevel="1" thickBot="1" x14ac:dyDescent="0.25">
      <c r="A17" s="4"/>
      <c r="B17" s="5"/>
      <c r="C17" s="5"/>
      <c r="D17" s="5"/>
      <c r="E17" s="5"/>
      <c r="F17" s="4"/>
      <c r="G17" s="4"/>
      <c r="H17" s="9"/>
      <c r="J17" s="2"/>
      <c r="K17" s="24"/>
      <c r="P17" s="88">
        <f>SUM(P14:P16)</f>
        <v>4.6512000000000002</v>
      </c>
      <c r="Q17" s="88">
        <f>SUM(Q14:Q16)</f>
        <v>3.9312</v>
      </c>
      <c r="R17" s="88">
        <f>SUM(R14:R16)</f>
        <v>15</v>
      </c>
    </row>
    <row r="18" spans="1:18" ht="15" customHeight="1" outlineLevel="1" thickBot="1" x14ac:dyDescent="0.25">
      <c r="A18" s="4"/>
      <c r="B18" s="5"/>
      <c r="C18" s="5"/>
      <c r="D18" s="5"/>
      <c r="E18" s="5"/>
      <c r="F18" s="4"/>
      <c r="G18" s="4"/>
      <c r="H18" s="9"/>
      <c r="J18" s="2"/>
      <c r="K18" s="24"/>
    </row>
    <row r="19" spans="1:18" ht="15" customHeight="1" outlineLevel="1" x14ac:dyDescent="0.2">
      <c r="A19" s="4"/>
      <c r="B19" s="5" t="s">
        <v>630</v>
      </c>
      <c r="C19" s="5">
        <v>114</v>
      </c>
      <c r="D19" s="5">
        <v>204</v>
      </c>
      <c r="E19" s="5" t="s">
        <v>36</v>
      </c>
      <c r="F19" s="4" t="s">
        <v>642</v>
      </c>
      <c r="G19" s="4">
        <v>1</v>
      </c>
      <c r="H19" s="371">
        <v>86595</v>
      </c>
      <c r="I19" s="2">
        <v>0</v>
      </c>
      <c r="J19" s="2">
        <f>H19+I19</f>
        <v>86595</v>
      </c>
      <c r="K19" s="24">
        <f>J19*G19</f>
        <v>86595</v>
      </c>
      <c r="L19" s="70" t="s">
        <v>913</v>
      </c>
      <c r="M19" s="70">
        <v>112</v>
      </c>
      <c r="N19" s="70">
        <v>24</v>
      </c>
      <c r="O19" s="70">
        <v>1.5</v>
      </c>
      <c r="P19">
        <f>(C19)*(D19)*G19/10000</f>
        <v>2.3256000000000001</v>
      </c>
      <c r="Q19" s="86">
        <f>(C19-$U$1)*(D19-$U$1)*G19/10000</f>
        <v>2.0175999999999998</v>
      </c>
      <c r="R19" s="47">
        <f>(C19+D19)*2*G19/100</f>
        <v>6.36</v>
      </c>
    </row>
    <row r="20" spans="1:18" ht="15" customHeight="1" outlineLevel="1" x14ac:dyDescent="0.2">
      <c r="A20" s="4"/>
      <c r="B20" s="5" t="s">
        <v>632</v>
      </c>
      <c r="C20" s="5">
        <v>114</v>
      </c>
      <c r="D20" s="5">
        <v>144</v>
      </c>
      <c r="E20" s="5" t="s">
        <v>35</v>
      </c>
      <c r="F20" s="4" t="s">
        <v>642</v>
      </c>
      <c r="G20" s="4">
        <v>1</v>
      </c>
      <c r="H20" s="371">
        <v>62370</v>
      </c>
      <c r="I20" s="2">
        <v>0</v>
      </c>
      <c r="J20" s="2">
        <f>H20+I20</f>
        <v>62370</v>
      </c>
      <c r="K20" s="24">
        <f>J20*G20</f>
        <v>62370</v>
      </c>
      <c r="L20" s="70" t="s">
        <v>913</v>
      </c>
      <c r="M20" s="70">
        <v>112</v>
      </c>
      <c r="N20" s="70">
        <v>23</v>
      </c>
      <c r="O20" s="70">
        <v>1.5</v>
      </c>
      <c r="P20">
        <f>(C20)*(D20)*G20/10000</f>
        <v>1.6415999999999999</v>
      </c>
      <c r="Q20" s="87">
        <f>(C20-$U$1)*(D20-$U$1)*G20/10000</f>
        <v>1.3935999999999999</v>
      </c>
      <c r="R20" s="47">
        <f>(C20+D20)*2*G20/100</f>
        <v>5.16</v>
      </c>
    </row>
    <row r="21" spans="1:18" ht="15" customHeight="1" outlineLevel="1" x14ac:dyDescent="0.2">
      <c r="A21" s="4"/>
      <c r="B21" s="5" t="s">
        <v>635</v>
      </c>
      <c r="C21" s="5">
        <v>114</v>
      </c>
      <c r="D21" s="5">
        <v>60</v>
      </c>
      <c r="E21" s="5" t="s">
        <v>1045</v>
      </c>
      <c r="F21" s="4" t="s">
        <v>642</v>
      </c>
      <c r="G21" s="4">
        <v>1</v>
      </c>
      <c r="H21" s="9">
        <v>55680</v>
      </c>
      <c r="I21" s="2">
        <v>0</v>
      </c>
      <c r="J21" s="2">
        <f>H21+I21</f>
        <v>55680</v>
      </c>
      <c r="K21" s="24">
        <f>J21*G21</f>
        <v>55680</v>
      </c>
      <c r="L21" s="70" t="s">
        <v>913</v>
      </c>
      <c r="M21" s="70">
        <v>112</v>
      </c>
      <c r="N21" s="70">
        <v>23</v>
      </c>
      <c r="O21" s="70">
        <v>1.5</v>
      </c>
      <c r="P21">
        <f>(C21)*(D21)*G21/10000</f>
        <v>0.68400000000000005</v>
      </c>
      <c r="Q21" s="87">
        <f>(C21-$U$1)*(D21-$U$1)*G21/10000</f>
        <v>0.52</v>
      </c>
      <c r="R21" s="47">
        <f>(C21+D21)*2*G21/100</f>
        <v>3.48</v>
      </c>
    </row>
    <row r="22" spans="1:18" ht="15" customHeight="1" outlineLevel="1" thickBot="1" x14ac:dyDescent="0.25">
      <c r="A22" s="4"/>
      <c r="B22" s="5"/>
      <c r="C22" s="5"/>
      <c r="D22" s="5"/>
      <c r="E22" s="5"/>
      <c r="F22" s="4"/>
      <c r="G22" s="4"/>
      <c r="H22" s="9"/>
      <c r="J22" s="2"/>
      <c r="K22" s="24"/>
      <c r="P22" s="88">
        <f>SUM(P19:P21)</f>
        <v>4.6512000000000002</v>
      </c>
      <c r="Q22" s="88">
        <f>SUM(Q19:Q21)</f>
        <v>3.9312</v>
      </c>
      <c r="R22" s="88">
        <f>SUM(R19:R21)</f>
        <v>15</v>
      </c>
    </row>
    <row r="23" spans="1:18" ht="13.5" thickBot="1" x14ac:dyDescent="0.25"/>
    <row r="24" spans="1:18" ht="15" customHeight="1" outlineLevel="1" x14ac:dyDescent="0.2">
      <c r="A24" s="4"/>
      <c r="B24" s="5" t="s">
        <v>931</v>
      </c>
      <c r="C24" s="5">
        <v>54</v>
      </c>
      <c r="D24" s="5">
        <v>60</v>
      </c>
      <c r="E24" s="5" t="s">
        <v>640</v>
      </c>
      <c r="F24" s="4" t="s">
        <v>642</v>
      </c>
      <c r="G24" s="4">
        <v>1</v>
      </c>
      <c r="H24" s="9">
        <v>45755</v>
      </c>
      <c r="I24" s="2">
        <v>0</v>
      </c>
      <c r="J24" s="2">
        <f>H24+I24</f>
        <v>45755</v>
      </c>
      <c r="K24" s="24">
        <f>J24*G24</f>
        <v>45755</v>
      </c>
      <c r="L24" s="70" t="s">
        <v>936</v>
      </c>
      <c r="M24" s="70">
        <v>52</v>
      </c>
      <c r="N24" s="70">
        <v>22</v>
      </c>
      <c r="O24" s="70">
        <v>1.5</v>
      </c>
      <c r="P24">
        <f>(C24)*(D24)*G24/10000</f>
        <v>0.32400000000000001</v>
      </c>
      <c r="Q24" s="86">
        <f>(C24-$U$1)*(D24-$U$1)*G24/10000</f>
        <v>0.22</v>
      </c>
      <c r="R24" s="47">
        <f>(C24+D24)*2*G24/100</f>
        <v>2.2799999999999998</v>
      </c>
    </row>
    <row r="25" spans="1:18" ht="15" customHeight="1" outlineLevel="1" x14ac:dyDescent="0.2">
      <c r="A25" s="4"/>
      <c r="B25" s="5" t="s">
        <v>914</v>
      </c>
      <c r="C25" s="5">
        <v>54</v>
      </c>
      <c r="D25" s="5">
        <v>60</v>
      </c>
      <c r="E25" s="5" t="s">
        <v>640</v>
      </c>
      <c r="F25" s="4" t="s">
        <v>642</v>
      </c>
      <c r="G25" s="4">
        <v>1</v>
      </c>
      <c r="H25" s="9">
        <v>45755</v>
      </c>
      <c r="I25" s="2">
        <v>0</v>
      </c>
      <c r="J25" s="2">
        <f>H25+I25</f>
        <v>45755</v>
      </c>
      <c r="K25" s="24">
        <f>J25*G25</f>
        <v>45755</v>
      </c>
      <c r="L25" s="70" t="s">
        <v>936</v>
      </c>
      <c r="M25" s="70">
        <v>52</v>
      </c>
      <c r="N25" s="70">
        <v>22</v>
      </c>
      <c r="O25" s="70">
        <v>1.5</v>
      </c>
      <c r="P25">
        <f>(C25)*(D25)*G25/10000</f>
        <v>0.32400000000000001</v>
      </c>
      <c r="Q25" s="87">
        <f>(C25-$U$1)*(D25-$U$1)*G25/10000</f>
        <v>0.22</v>
      </c>
      <c r="R25" s="47">
        <f>(C25+D25)*2*G25/100</f>
        <v>2.2799999999999998</v>
      </c>
    </row>
    <row r="26" spans="1:18" ht="15" customHeight="1" outlineLevel="1" x14ac:dyDescent="0.2">
      <c r="A26" s="4"/>
      <c r="B26" s="5" t="s">
        <v>634</v>
      </c>
      <c r="C26" s="5">
        <v>54</v>
      </c>
      <c r="D26" s="5">
        <v>60</v>
      </c>
      <c r="E26" s="5" t="s">
        <v>640</v>
      </c>
      <c r="F26" s="4" t="s">
        <v>642</v>
      </c>
      <c r="G26" s="4">
        <v>1</v>
      </c>
      <c r="H26" s="9">
        <v>45755</v>
      </c>
      <c r="I26" s="2">
        <v>0</v>
      </c>
      <c r="J26" s="2">
        <f>H26+I26</f>
        <v>45755</v>
      </c>
      <c r="K26" s="24">
        <f>J26*G26</f>
        <v>45755</v>
      </c>
      <c r="L26" s="70" t="s">
        <v>936</v>
      </c>
      <c r="N26" s="70">
        <v>22</v>
      </c>
      <c r="O26" s="70">
        <v>1.5</v>
      </c>
      <c r="P26">
        <f>(C26)*(D26)*G26/10000</f>
        <v>0.32400000000000001</v>
      </c>
      <c r="Q26" s="87">
        <f>(C26-$U$1)*(D26-$U$1)*G26/10000</f>
        <v>0.22</v>
      </c>
      <c r="R26" s="47">
        <f>(C26+D26)*2*G26/100</f>
        <v>2.2799999999999998</v>
      </c>
    </row>
    <row r="27" spans="1:18" ht="15" customHeight="1" outlineLevel="1" x14ac:dyDescent="0.2">
      <c r="A27" s="4"/>
      <c r="B27" s="5" t="s">
        <v>635</v>
      </c>
      <c r="C27" s="5">
        <v>94</v>
      </c>
      <c r="D27" s="5">
        <v>234</v>
      </c>
      <c r="E27" s="5" t="s">
        <v>854</v>
      </c>
      <c r="F27" s="4" t="s">
        <v>642</v>
      </c>
      <c r="G27" s="4">
        <v>1</v>
      </c>
      <c r="H27" s="9">
        <v>253405</v>
      </c>
      <c r="I27" s="2">
        <v>0</v>
      </c>
      <c r="J27" s="2">
        <f>H27+I27</f>
        <v>253405</v>
      </c>
      <c r="K27" s="24">
        <f>J27*G27</f>
        <v>253405</v>
      </c>
      <c r="L27" s="70" t="s">
        <v>936</v>
      </c>
      <c r="P27">
        <f>(C27)*(D27)*G27/10000</f>
        <v>2.1996000000000002</v>
      </c>
      <c r="Q27" s="87">
        <v>0</v>
      </c>
      <c r="R27" s="47">
        <f>(C27+(D27)*2)*G27/100</f>
        <v>5.62</v>
      </c>
    </row>
    <row r="28" spans="1:18" ht="15" customHeight="1" outlineLevel="1" x14ac:dyDescent="0.2">
      <c r="A28" s="4"/>
      <c r="B28" s="5" t="s">
        <v>644</v>
      </c>
      <c r="C28" s="5">
        <v>94</v>
      </c>
      <c r="D28" s="5">
        <v>234</v>
      </c>
      <c r="E28" s="5" t="s">
        <v>645</v>
      </c>
      <c r="F28" s="4" t="s">
        <v>642</v>
      </c>
      <c r="G28" s="4">
        <v>1</v>
      </c>
      <c r="H28" s="9">
        <v>253405</v>
      </c>
      <c r="I28" s="2">
        <v>0</v>
      </c>
      <c r="J28" s="2">
        <f>H28+I28</f>
        <v>253405</v>
      </c>
      <c r="K28" s="24">
        <f>J28*G28</f>
        <v>253405</v>
      </c>
      <c r="L28" s="70" t="s">
        <v>936</v>
      </c>
      <c r="P28">
        <f>(C28)*(D28)*G28/10000</f>
        <v>2.1996000000000002</v>
      </c>
      <c r="Q28" s="87">
        <v>0</v>
      </c>
      <c r="R28" s="47">
        <f>(C28+(D28)*2)*G28/100</f>
        <v>5.62</v>
      </c>
    </row>
    <row r="29" spans="1:18" ht="13.5" thickBot="1" x14ac:dyDescent="0.25">
      <c r="P29" s="88">
        <f>SUM(P24:P28)</f>
        <v>5.3712</v>
      </c>
      <c r="Q29" s="88">
        <f>SUM(Q24:Q28)</f>
        <v>0.66</v>
      </c>
      <c r="R29" s="88">
        <f>SUM(R24:R28)</f>
        <v>18.080000000000002</v>
      </c>
    </row>
    <row r="30" spans="1:18" x14ac:dyDescent="0.2">
      <c r="M30" s="70">
        <f>M6*G6+M8+M9+M10+M11+M14+M15+M19+M20+M21+M24+M25</f>
        <v>1576</v>
      </c>
    </row>
    <row r="31" spans="1:18" ht="15" customHeight="1" x14ac:dyDescent="0.2">
      <c r="A31" s="4"/>
      <c r="B31" s="5"/>
      <c r="C31" s="5"/>
      <c r="D31" s="5"/>
      <c r="E31" s="5"/>
      <c r="F31" s="4"/>
      <c r="G31" s="4"/>
      <c r="H31" s="9"/>
      <c r="J31" s="2"/>
      <c r="K31" s="24"/>
      <c r="M31" s="815">
        <f>M30/100*3000</f>
        <v>47280</v>
      </c>
      <c r="P31" s="69">
        <f>P12+P17+P22+P29-P27-P28</f>
        <v>23.518799999999999</v>
      </c>
      <c r="Q31" s="69">
        <f>Q12+Q17+Q22+Q29</f>
        <v>20.354800000000001</v>
      </c>
      <c r="R31" s="69">
        <f>R12+R17+R22+R29</f>
        <v>92.659999999999982</v>
      </c>
    </row>
    <row r="32" spans="1:18" ht="15" customHeight="1" x14ac:dyDescent="0.2">
      <c r="A32" s="32" t="s">
        <v>724</v>
      </c>
      <c r="B32" s="33" t="s">
        <v>935</v>
      </c>
      <c r="C32" s="33"/>
      <c r="D32" s="33"/>
      <c r="E32" s="34" t="s">
        <v>959</v>
      </c>
      <c r="F32" s="35"/>
      <c r="G32" s="35"/>
      <c r="H32" s="36"/>
      <c r="I32" s="38"/>
      <c r="J32" s="38"/>
      <c r="K32" s="37">
        <f>SUM(K33:K45)</f>
        <v>480000</v>
      </c>
      <c r="L32" s="72"/>
      <c r="M32" s="72"/>
      <c r="N32" s="72"/>
      <c r="O32" s="72"/>
      <c r="P32" s="69">
        <f>P27+P28</f>
        <v>4.3992000000000004</v>
      </c>
      <c r="Q32" s="69"/>
      <c r="R32" s="69"/>
    </row>
    <row r="33" spans="1:21" ht="15" customHeight="1" outlineLevel="1" x14ac:dyDescent="0.2">
      <c r="A33" s="4"/>
      <c r="B33" s="5" t="s">
        <v>632</v>
      </c>
      <c r="C33" s="5">
        <v>90</v>
      </c>
      <c r="D33" s="5">
        <v>210</v>
      </c>
      <c r="E33" s="5" t="s">
        <v>960</v>
      </c>
      <c r="F33" s="4" t="s">
        <v>642</v>
      </c>
      <c r="G33" s="4">
        <v>1</v>
      </c>
      <c r="H33" s="9">
        <v>60000</v>
      </c>
      <c r="I33" s="2">
        <v>0</v>
      </c>
      <c r="J33" s="2">
        <f t="shared" ref="J33:J39" si="4">H33+I33</f>
        <v>60000</v>
      </c>
      <c r="K33" s="24">
        <f t="shared" ref="K33:K39" si="5">J33*G33</f>
        <v>60000</v>
      </c>
    </row>
    <row r="34" spans="1:21" ht="15" customHeight="1" outlineLevel="1" x14ac:dyDescent="0.2">
      <c r="A34" s="4"/>
      <c r="B34" s="5" t="s">
        <v>633</v>
      </c>
      <c r="C34" s="5">
        <v>75</v>
      </c>
      <c r="D34" s="5">
        <v>210</v>
      </c>
      <c r="E34" s="5" t="s">
        <v>961</v>
      </c>
      <c r="F34" s="4" t="s">
        <v>642</v>
      </c>
      <c r="G34" s="4">
        <v>1</v>
      </c>
      <c r="H34" s="9">
        <v>60000</v>
      </c>
      <c r="I34" s="2">
        <v>0</v>
      </c>
      <c r="J34" s="2">
        <f t="shared" si="4"/>
        <v>60000</v>
      </c>
      <c r="K34" s="24">
        <f t="shared" si="5"/>
        <v>60000</v>
      </c>
    </row>
    <row r="35" spans="1:21" ht="15" customHeight="1" outlineLevel="1" x14ac:dyDescent="0.2">
      <c r="A35" s="4"/>
      <c r="B35" s="5" t="s">
        <v>914</v>
      </c>
      <c r="C35" s="5">
        <v>90</v>
      </c>
      <c r="D35" s="5">
        <v>210</v>
      </c>
      <c r="E35" s="5" t="s">
        <v>960</v>
      </c>
      <c r="F35" s="4" t="s">
        <v>642</v>
      </c>
      <c r="G35" s="4">
        <v>1</v>
      </c>
      <c r="H35" s="9">
        <v>60000</v>
      </c>
      <c r="I35" s="2">
        <v>0</v>
      </c>
      <c r="J35" s="2">
        <f t="shared" si="4"/>
        <v>60000</v>
      </c>
      <c r="K35" s="24">
        <f t="shared" si="5"/>
        <v>60000</v>
      </c>
    </row>
    <row r="36" spans="1:21" ht="15" customHeight="1" outlineLevel="1" x14ac:dyDescent="0.2">
      <c r="A36" s="4"/>
      <c r="B36" s="5" t="s">
        <v>639</v>
      </c>
      <c r="C36" s="5">
        <v>90</v>
      </c>
      <c r="D36" s="5">
        <v>210</v>
      </c>
      <c r="E36" s="5" t="s">
        <v>960</v>
      </c>
      <c r="F36" s="4" t="s">
        <v>642</v>
      </c>
      <c r="G36" s="4">
        <v>1</v>
      </c>
      <c r="H36" s="9">
        <v>60000</v>
      </c>
      <c r="I36" s="2">
        <v>0</v>
      </c>
      <c r="J36" s="2">
        <f t="shared" si="4"/>
        <v>60000</v>
      </c>
      <c r="K36" s="24">
        <f t="shared" si="5"/>
        <v>60000</v>
      </c>
    </row>
    <row r="37" spans="1:21" ht="15" customHeight="1" outlineLevel="1" x14ac:dyDescent="0.2">
      <c r="A37" s="4"/>
      <c r="B37" s="5" t="s">
        <v>931</v>
      </c>
      <c r="C37" s="5">
        <v>75</v>
      </c>
      <c r="D37" s="5">
        <v>210</v>
      </c>
      <c r="E37" s="5" t="s">
        <v>961</v>
      </c>
      <c r="F37" s="4" t="s">
        <v>642</v>
      </c>
      <c r="G37" s="4">
        <v>1</v>
      </c>
      <c r="H37" s="9">
        <v>60000</v>
      </c>
      <c r="I37" s="2">
        <v>0</v>
      </c>
      <c r="J37" s="2">
        <f t="shared" si="4"/>
        <v>60000</v>
      </c>
      <c r="K37" s="24">
        <f t="shared" si="5"/>
        <v>60000</v>
      </c>
    </row>
    <row r="38" spans="1:21" ht="15" customHeight="1" outlineLevel="1" x14ac:dyDescent="0.2">
      <c r="A38" s="4"/>
      <c r="B38" s="5" t="s">
        <v>635</v>
      </c>
      <c r="C38" s="5">
        <v>75</v>
      </c>
      <c r="D38" s="5">
        <v>210</v>
      </c>
      <c r="E38" s="5" t="s">
        <v>962</v>
      </c>
      <c r="F38" s="4" t="s">
        <v>642</v>
      </c>
      <c r="G38" s="4">
        <v>0</v>
      </c>
      <c r="H38" s="9">
        <v>0</v>
      </c>
      <c r="I38" s="2">
        <v>0</v>
      </c>
      <c r="J38" s="2">
        <f t="shared" si="4"/>
        <v>0</v>
      </c>
      <c r="K38" s="24">
        <f t="shared" si="5"/>
        <v>0</v>
      </c>
    </row>
    <row r="39" spans="1:21" ht="15" customHeight="1" outlineLevel="1" x14ac:dyDescent="0.2">
      <c r="A39" s="4"/>
      <c r="B39" s="5" t="s">
        <v>908</v>
      </c>
      <c r="C39" s="5">
        <v>120</v>
      </c>
      <c r="D39" s="5">
        <v>240</v>
      </c>
      <c r="E39" s="5" t="s">
        <v>909</v>
      </c>
      <c r="F39" s="4" t="s">
        <v>642</v>
      </c>
      <c r="G39" s="4">
        <v>2</v>
      </c>
      <c r="H39" s="9">
        <v>0</v>
      </c>
      <c r="I39" s="2">
        <v>0</v>
      </c>
      <c r="J39" s="2">
        <f t="shared" si="4"/>
        <v>0</v>
      </c>
      <c r="K39" s="24">
        <f t="shared" si="5"/>
        <v>0</v>
      </c>
    </row>
    <row r="40" spans="1:21" ht="15" customHeight="1" outlineLevel="1" x14ac:dyDescent="0.2">
      <c r="A40" s="4"/>
      <c r="B40" s="5"/>
      <c r="C40" s="5"/>
      <c r="D40" s="5"/>
      <c r="E40" s="5"/>
      <c r="F40" s="4"/>
      <c r="G40" s="4"/>
      <c r="H40" s="9"/>
      <c r="J40" s="2"/>
      <c r="K40" s="24"/>
    </row>
    <row r="41" spans="1:21" ht="15" customHeight="1" outlineLevel="1" x14ac:dyDescent="0.2">
      <c r="A41" s="4"/>
      <c r="B41" s="5" t="s">
        <v>637</v>
      </c>
      <c r="C41" s="5">
        <v>90</v>
      </c>
      <c r="D41" s="5">
        <v>210</v>
      </c>
      <c r="E41" s="5" t="s">
        <v>960</v>
      </c>
      <c r="F41" s="4" t="s">
        <v>642</v>
      </c>
      <c r="G41" s="4">
        <v>1</v>
      </c>
      <c r="H41" s="9">
        <v>60000</v>
      </c>
      <c r="I41" s="2">
        <v>0</v>
      </c>
      <c r="J41" s="2">
        <f>H41+I41</f>
        <v>60000</v>
      </c>
      <c r="K41" s="24">
        <f>J41*G41</f>
        <v>60000</v>
      </c>
    </row>
    <row r="42" spans="1:21" ht="15" customHeight="1" outlineLevel="1" x14ac:dyDescent="0.2">
      <c r="A42" s="4"/>
      <c r="B42" s="5" t="s">
        <v>637</v>
      </c>
      <c r="C42" s="5">
        <v>90</v>
      </c>
      <c r="D42" s="5">
        <v>210</v>
      </c>
      <c r="E42" s="5" t="s">
        <v>960</v>
      </c>
      <c r="F42" s="4" t="s">
        <v>642</v>
      </c>
      <c r="G42" s="4">
        <v>1</v>
      </c>
      <c r="H42" s="9">
        <v>60000</v>
      </c>
      <c r="I42" s="2">
        <v>0</v>
      </c>
      <c r="J42" s="2">
        <f>H42+I42</f>
        <v>60000</v>
      </c>
      <c r="K42" s="24">
        <f>J42*G42</f>
        <v>60000</v>
      </c>
    </row>
    <row r="43" spans="1:21" ht="15" customHeight="1" outlineLevel="1" x14ac:dyDescent="0.2">
      <c r="A43" s="4"/>
      <c r="B43" s="5" t="s">
        <v>638</v>
      </c>
      <c r="C43" s="5">
        <v>90</v>
      </c>
      <c r="D43" s="5">
        <v>210</v>
      </c>
      <c r="E43" s="5" t="s">
        <v>960</v>
      </c>
      <c r="F43" s="4" t="s">
        <v>642</v>
      </c>
      <c r="G43" s="4">
        <v>1</v>
      </c>
      <c r="H43" s="9">
        <v>60000</v>
      </c>
      <c r="I43" s="2">
        <v>0</v>
      </c>
      <c r="J43" s="2">
        <f>H43+I43</f>
        <v>60000</v>
      </c>
      <c r="K43" s="24">
        <f>J43*G43</f>
        <v>60000</v>
      </c>
    </row>
    <row r="44" spans="1:21" x14ac:dyDescent="0.2">
      <c r="A44" s="4"/>
      <c r="B44" s="5" t="s">
        <v>908</v>
      </c>
      <c r="C44" s="5">
        <v>150</v>
      </c>
      <c r="D44" s="5">
        <v>210</v>
      </c>
      <c r="E44" s="5" t="s">
        <v>1033</v>
      </c>
      <c r="F44" s="4" t="s">
        <v>642</v>
      </c>
      <c r="G44" s="4">
        <v>1</v>
      </c>
      <c r="H44" s="9">
        <v>0</v>
      </c>
      <c r="I44" s="2">
        <v>0</v>
      </c>
      <c r="J44" s="2">
        <f>H44+I44</f>
        <v>0</v>
      </c>
      <c r="K44" s="24">
        <f>J44*G44</f>
        <v>0</v>
      </c>
    </row>
    <row r="45" spans="1:21" x14ac:dyDescent="0.2">
      <c r="A45" s="4"/>
      <c r="B45" s="5" t="s">
        <v>1031</v>
      </c>
      <c r="C45" s="5">
        <v>110</v>
      </c>
      <c r="D45" s="5">
        <v>210</v>
      </c>
      <c r="E45" s="5" t="s">
        <v>1032</v>
      </c>
      <c r="F45" s="4" t="s">
        <v>642</v>
      </c>
      <c r="G45" s="4">
        <v>1</v>
      </c>
      <c r="H45" s="9">
        <v>0</v>
      </c>
      <c r="I45" s="2">
        <v>0</v>
      </c>
      <c r="J45" s="2">
        <f>H45+I45</f>
        <v>0</v>
      </c>
      <c r="K45" s="24">
        <f>J45*G45</f>
        <v>0</v>
      </c>
    </row>
    <row r="46" spans="1:21" x14ac:dyDescent="0.2">
      <c r="T46" s="83"/>
      <c r="U46" s="83"/>
    </row>
    <row r="47" spans="1:21" x14ac:dyDescent="0.2">
      <c r="B47" s="370" t="s">
        <v>39</v>
      </c>
      <c r="C47" s="373"/>
      <c r="D47" s="373"/>
      <c r="E47" s="373"/>
      <c r="F47" s="373"/>
      <c r="G47" s="374"/>
      <c r="H47" s="375"/>
      <c r="I47" s="375"/>
      <c r="J47" s="376" t="s">
        <v>40</v>
      </c>
      <c r="K47" s="372">
        <f>SUM(K48:K57)*0.8</f>
        <v>610664</v>
      </c>
      <c r="T47" s="83"/>
      <c r="U47" s="83"/>
    </row>
    <row r="48" spans="1:21" x14ac:dyDescent="0.2">
      <c r="B48" s="5" t="s">
        <v>914</v>
      </c>
      <c r="C48" s="5">
        <v>100</v>
      </c>
      <c r="D48" s="5">
        <v>210</v>
      </c>
      <c r="E48" s="5" t="s">
        <v>41</v>
      </c>
      <c r="F48" s="4" t="s">
        <v>642</v>
      </c>
      <c r="G48" s="4">
        <v>1</v>
      </c>
      <c r="H48" s="9">
        <v>60170</v>
      </c>
      <c r="I48" s="2">
        <v>33690</v>
      </c>
      <c r="J48" s="2">
        <f>H48+I48</f>
        <v>93860</v>
      </c>
      <c r="K48" s="24">
        <f>J48*G48</f>
        <v>93860</v>
      </c>
    </row>
    <row r="49" spans="2:23" x14ac:dyDescent="0.2">
      <c r="B49" s="5" t="s">
        <v>639</v>
      </c>
      <c r="C49" s="5">
        <v>90</v>
      </c>
      <c r="D49" s="5">
        <v>210</v>
      </c>
      <c r="E49" s="5" t="s">
        <v>42</v>
      </c>
      <c r="F49" s="4" t="s">
        <v>642</v>
      </c>
      <c r="G49" s="4">
        <v>1</v>
      </c>
      <c r="H49" s="9">
        <v>58280</v>
      </c>
      <c r="I49" s="2">
        <v>30960</v>
      </c>
      <c r="J49" s="2">
        <f>H49+I49</f>
        <v>89240</v>
      </c>
      <c r="K49" s="24">
        <f>J49*G49</f>
        <v>89240</v>
      </c>
    </row>
    <row r="50" spans="2:23" x14ac:dyDescent="0.2">
      <c r="B50" s="5" t="s">
        <v>931</v>
      </c>
      <c r="C50" s="5">
        <v>75</v>
      </c>
      <c r="D50" s="5">
        <v>210</v>
      </c>
      <c r="E50" s="5" t="s">
        <v>949</v>
      </c>
      <c r="F50" s="4" t="s">
        <v>642</v>
      </c>
      <c r="G50" s="4">
        <v>1</v>
      </c>
      <c r="H50" s="9">
        <v>55885</v>
      </c>
      <c r="I50" s="2">
        <v>26945</v>
      </c>
      <c r="J50" s="2">
        <f>H50+I50</f>
        <v>82830</v>
      </c>
      <c r="K50" s="24">
        <f>J50*G50</f>
        <v>82830</v>
      </c>
    </row>
    <row r="51" spans="2:23" x14ac:dyDescent="0.2">
      <c r="B51" s="5" t="s">
        <v>634</v>
      </c>
      <c r="C51" s="5">
        <v>75</v>
      </c>
      <c r="D51" s="5">
        <v>210</v>
      </c>
      <c r="E51" s="5" t="s">
        <v>949</v>
      </c>
      <c r="F51" s="4" t="s">
        <v>642</v>
      </c>
      <c r="G51" s="4">
        <v>1</v>
      </c>
      <c r="H51" s="9">
        <v>55885</v>
      </c>
      <c r="I51" s="2">
        <v>26945</v>
      </c>
      <c r="J51" s="2">
        <f>H51+I51</f>
        <v>82830</v>
      </c>
      <c r="K51" s="24">
        <f>J51*G51</f>
        <v>82830</v>
      </c>
    </row>
    <row r="52" spans="2:23" x14ac:dyDescent="0.2">
      <c r="B52" s="5" t="s">
        <v>633</v>
      </c>
      <c r="C52" s="5">
        <v>75</v>
      </c>
      <c r="D52" s="5">
        <v>210</v>
      </c>
      <c r="E52" s="5" t="s">
        <v>949</v>
      </c>
      <c r="F52" s="4" t="s">
        <v>642</v>
      </c>
      <c r="G52" s="4">
        <v>1</v>
      </c>
      <c r="H52" s="9">
        <v>55885</v>
      </c>
      <c r="I52" s="2">
        <v>26945</v>
      </c>
      <c r="J52" s="2">
        <f>H52+I52</f>
        <v>82830</v>
      </c>
      <c r="K52" s="24">
        <f>J52*G52</f>
        <v>82830</v>
      </c>
    </row>
    <row r="53" spans="2:23" x14ac:dyDescent="0.2">
      <c r="B53" s="5"/>
      <c r="C53" s="5"/>
      <c r="D53" s="5"/>
      <c r="E53" s="5"/>
      <c r="F53" s="4"/>
      <c r="G53" s="4"/>
      <c r="H53" s="9"/>
      <c r="J53" s="2"/>
      <c r="K53" s="24"/>
    </row>
    <row r="54" spans="2:23" x14ac:dyDescent="0.2">
      <c r="B54" s="5" t="s">
        <v>632</v>
      </c>
      <c r="C54" s="5">
        <v>90</v>
      </c>
      <c r="D54" s="5">
        <v>210</v>
      </c>
      <c r="E54" s="5" t="s">
        <v>653</v>
      </c>
      <c r="F54" s="4" t="s">
        <v>642</v>
      </c>
      <c r="G54" s="4">
        <v>1</v>
      </c>
      <c r="H54" s="9">
        <v>63000</v>
      </c>
      <c r="I54" s="2">
        <v>19935</v>
      </c>
      <c r="J54" s="2">
        <f>H54+I54</f>
        <v>82935</v>
      </c>
      <c r="K54" s="24">
        <f>J54*G54</f>
        <v>82935</v>
      </c>
    </row>
    <row r="55" spans="2:23" x14ac:dyDescent="0.2">
      <c r="B55" s="5" t="s">
        <v>637</v>
      </c>
      <c r="C55" s="5">
        <v>90</v>
      </c>
      <c r="D55" s="5">
        <v>210</v>
      </c>
      <c r="E55" s="5" t="s">
        <v>653</v>
      </c>
      <c r="F55" s="4" t="s">
        <v>642</v>
      </c>
      <c r="G55" s="4">
        <v>1</v>
      </c>
      <c r="H55" s="9">
        <v>63000</v>
      </c>
      <c r="I55" s="2">
        <v>19935</v>
      </c>
      <c r="J55" s="2">
        <f>H55+I55</f>
        <v>82935</v>
      </c>
      <c r="K55" s="24">
        <f>J55*G55</f>
        <v>82935</v>
      </c>
    </row>
    <row r="56" spans="2:23" x14ac:dyDescent="0.2">
      <c r="B56" s="5" t="s">
        <v>637</v>
      </c>
      <c r="C56" s="5">
        <v>90</v>
      </c>
      <c r="D56" s="5">
        <v>210</v>
      </c>
      <c r="E56" s="5" t="s">
        <v>653</v>
      </c>
      <c r="F56" s="4" t="s">
        <v>642</v>
      </c>
      <c r="G56" s="4">
        <v>1</v>
      </c>
      <c r="H56" s="9">
        <v>63000</v>
      </c>
      <c r="I56" s="2">
        <v>19935</v>
      </c>
      <c r="J56" s="2">
        <f>H56+I56</f>
        <v>82935</v>
      </c>
      <c r="K56" s="24">
        <f>J56*G56</f>
        <v>82935</v>
      </c>
    </row>
    <row r="57" spans="2:23" x14ac:dyDescent="0.2">
      <c r="B57" s="5" t="s">
        <v>638</v>
      </c>
      <c r="C57" s="5">
        <v>90</v>
      </c>
      <c r="D57" s="5">
        <v>210</v>
      </c>
      <c r="E57" s="5" t="s">
        <v>653</v>
      </c>
      <c r="F57" s="4" t="s">
        <v>642</v>
      </c>
      <c r="G57" s="4">
        <v>1</v>
      </c>
      <c r="H57" s="9">
        <v>63000</v>
      </c>
      <c r="I57" s="2">
        <v>19935</v>
      </c>
      <c r="J57" s="2">
        <f>H57+I57</f>
        <v>82935</v>
      </c>
      <c r="K57" s="24">
        <f>J57*G57</f>
        <v>82935</v>
      </c>
    </row>
    <row r="59" spans="2:23" x14ac:dyDescent="0.2">
      <c r="T59" s="84"/>
    </row>
    <row r="64" spans="2:23" x14ac:dyDescent="0.2">
      <c r="I64" s="2" t="s">
        <v>1395</v>
      </c>
      <c r="J64">
        <v>147900</v>
      </c>
      <c r="K64">
        <v>1</v>
      </c>
      <c r="L64"/>
      <c r="M64"/>
      <c r="N64"/>
      <c r="O64"/>
      <c r="P64" s="11">
        <f>J64*K64</f>
        <v>147900</v>
      </c>
      <c r="Q64" s="70"/>
      <c r="S64"/>
      <c r="T64"/>
      <c r="U64" s="1"/>
      <c r="V64" s="81"/>
      <c r="W64" s="82"/>
    </row>
    <row r="65" spans="9:23" x14ac:dyDescent="0.2">
      <c r="I65" s="2" t="s">
        <v>1396</v>
      </c>
      <c r="J65">
        <v>162400</v>
      </c>
      <c r="K65">
        <v>1</v>
      </c>
      <c r="L65"/>
      <c r="M65"/>
      <c r="N65"/>
      <c r="O65"/>
      <c r="P65" s="11">
        <f t="shared" ref="P65:P70" si="6">J65*K65</f>
        <v>162400</v>
      </c>
      <c r="Q65" s="70"/>
      <c r="S65"/>
      <c r="T65"/>
      <c r="U65" s="1"/>
      <c r="V65" s="81"/>
      <c r="W65" s="82"/>
    </row>
    <row r="66" spans="9:23" x14ac:dyDescent="0.2">
      <c r="I66" s="2" t="s">
        <v>1394</v>
      </c>
      <c r="J66">
        <v>29322</v>
      </c>
      <c r="K66">
        <v>2</v>
      </c>
      <c r="L66"/>
      <c r="M66"/>
      <c r="N66"/>
      <c r="O66"/>
      <c r="P66" s="11">
        <f t="shared" si="6"/>
        <v>58644</v>
      </c>
      <c r="Q66" s="70"/>
      <c r="S66"/>
      <c r="T66"/>
      <c r="U66" s="1"/>
      <c r="V66" s="81"/>
      <c r="W66" s="82"/>
    </row>
    <row r="67" spans="9:23" x14ac:dyDescent="0.2">
      <c r="I67" s="2" t="s">
        <v>1397</v>
      </c>
      <c r="J67">
        <v>45000</v>
      </c>
      <c r="K67">
        <v>2</v>
      </c>
      <c r="L67"/>
      <c r="M67"/>
      <c r="N67"/>
      <c r="O67"/>
      <c r="P67" s="11">
        <f t="shared" si="6"/>
        <v>90000</v>
      </c>
      <c r="Q67" s="70"/>
      <c r="S67"/>
      <c r="T67"/>
      <c r="U67" s="1"/>
      <c r="V67" s="81"/>
      <c r="W67" s="82"/>
    </row>
    <row r="68" spans="9:23" x14ac:dyDescent="0.2">
      <c r="I68" s="2" t="s">
        <v>1398</v>
      </c>
      <c r="J68">
        <v>96290</v>
      </c>
      <c r="K68">
        <v>3</v>
      </c>
      <c r="L68"/>
      <c r="M68"/>
      <c r="N68"/>
      <c r="O68"/>
      <c r="P68" s="11">
        <f t="shared" si="6"/>
        <v>288870</v>
      </c>
      <c r="Q68" s="70"/>
      <c r="S68"/>
      <c r="T68"/>
      <c r="U68" s="1"/>
      <c r="V68" s="81"/>
      <c r="W68" s="82"/>
    </row>
    <row r="69" spans="9:23" x14ac:dyDescent="0.2">
      <c r="I69" s="2" t="s">
        <v>1399</v>
      </c>
      <c r="J69">
        <v>100000</v>
      </c>
      <c r="K69">
        <v>2</v>
      </c>
      <c r="L69"/>
      <c r="M69"/>
      <c r="N69"/>
      <c r="O69"/>
      <c r="P69" s="11">
        <f t="shared" si="6"/>
        <v>200000</v>
      </c>
      <c r="Q69" s="70"/>
      <c r="S69"/>
      <c r="T69"/>
      <c r="U69" s="1"/>
      <c r="V69" s="81"/>
      <c r="W69" s="82"/>
    </row>
    <row r="70" spans="9:23" x14ac:dyDescent="0.2">
      <c r="I70" s="2" t="s">
        <v>1400</v>
      </c>
      <c r="J70">
        <v>89000</v>
      </c>
      <c r="K70">
        <v>4</v>
      </c>
      <c r="L70"/>
      <c r="M70"/>
      <c r="N70"/>
      <c r="O70"/>
      <c r="P70" s="11">
        <f t="shared" si="6"/>
        <v>356000</v>
      </c>
      <c r="Q70" s="70"/>
      <c r="S70"/>
      <c r="T70"/>
      <c r="U70" s="1"/>
      <c r="V70" s="81"/>
      <c r="W70" s="82"/>
    </row>
    <row r="71" spans="9:23" ht="13.5" thickBot="1" x14ac:dyDescent="0.25">
      <c r="L71" s="11"/>
      <c r="M71" s="11"/>
      <c r="N71" s="11"/>
      <c r="O71" s="11"/>
      <c r="P71" s="70"/>
      <c r="S71"/>
      <c r="T71" s="1"/>
      <c r="U71" s="81"/>
      <c r="V71" s="82"/>
    </row>
    <row r="72" spans="9:23" x14ac:dyDescent="0.2">
      <c r="I72" s="346" t="s">
        <v>1050</v>
      </c>
      <c r="J72" s="64"/>
      <c r="K72" s="347" t="s">
        <v>642</v>
      </c>
      <c r="L72" s="347" t="s">
        <v>1921</v>
      </c>
      <c r="M72" s="347"/>
      <c r="N72" s="347"/>
      <c r="O72" s="347"/>
      <c r="P72" s="347"/>
      <c r="Q72" s="348" t="s">
        <v>1024</v>
      </c>
      <c r="S72"/>
      <c r="T72"/>
      <c r="U72" s="1"/>
      <c r="V72" s="81"/>
      <c r="W72" s="82"/>
    </row>
    <row r="73" spans="9:23" x14ac:dyDescent="0.2">
      <c r="I73" s="349" t="s">
        <v>1892</v>
      </c>
      <c r="J73" s="350">
        <v>100</v>
      </c>
      <c r="K73" s="314">
        <v>10</v>
      </c>
      <c r="L73" s="314">
        <v>14</v>
      </c>
      <c r="M73" s="314"/>
      <c r="N73" s="314"/>
      <c r="O73" s="314"/>
      <c r="P73" s="366">
        <f>K73*L73</f>
        <v>140</v>
      </c>
      <c r="Q73" s="351">
        <f>K73*J73/100</f>
        <v>10</v>
      </c>
      <c r="S73"/>
      <c r="T73"/>
      <c r="U73" s="1"/>
      <c r="V73" s="81"/>
      <c r="W73" s="82"/>
    </row>
    <row r="74" spans="9:23" x14ac:dyDescent="0.2">
      <c r="I74" s="349" t="s">
        <v>1892</v>
      </c>
      <c r="J74" s="350">
        <v>125</v>
      </c>
      <c r="K74" s="314">
        <v>6</v>
      </c>
      <c r="L74" s="314">
        <v>17.5</v>
      </c>
      <c r="M74" s="314"/>
      <c r="N74" s="314"/>
      <c r="O74" s="314"/>
      <c r="P74" s="366">
        <f>K74*L74</f>
        <v>105</v>
      </c>
      <c r="Q74" s="351">
        <f>K74*J74/100</f>
        <v>7.5</v>
      </c>
      <c r="S74"/>
      <c r="T74"/>
      <c r="U74" s="1"/>
      <c r="V74" s="81"/>
      <c r="W74" s="82"/>
    </row>
    <row r="75" spans="9:23" x14ac:dyDescent="0.2">
      <c r="I75" s="349" t="s">
        <v>1892</v>
      </c>
      <c r="J75" s="350">
        <v>150</v>
      </c>
      <c r="K75" s="314">
        <v>6</v>
      </c>
      <c r="L75" s="314">
        <v>21</v>
      </c>
      <c r="M75" s="314"/>
      <c r="N75" s="314"/>
      <c r="O75" s="314"/>
      <c r="P75" s="366">
        <f>K75*L75</f>
        <v>126</v>
      </c>
      <c r="Q75" s="351">
        <f>K75*J75/100</f>
        <v>9</v>
      </c>
      <c r="S75"/>
      <c r="T75"/>
      <c r="U75" s="1"/>
      <c r="V75" s="81"/>
      <c r="W75" s="82"/>
    </row>
    <row r="76" spans="9:23" x14ac:dyDescent="0.2">
      <c r="I76" s="349" t="s">
        <v>1892</v>
      </c>
      <c r="J76" s="350">
        <v>175</v>
      </c>
      <c r="K76" s="314">
        <v>10</v>
      </c>
      <c r="L76" s="314">
        <v>24.5</v>
      </c>
      <c r="M76" s="314"/>
      <c r="N76" s="314"/>
      <c r="O76" s="314"/>
      <c r="P76" s="366">
        <f>K76*L76</f>
        <v>245</v>
      </c>
      <c r="Q76" s="351">
        <f>K76*J76/100</f>
        <v>17.5</v>
      </c>
      <c r="S76"/>
      <c r="T76"/>
      <c r="U76" s="1"/>
      <c r="V76" s="81"/>
      <c r="W76" s="82"/>
    </row>
    <row r="77" spans="9:23" x14ac:dyDescent="0.2">
      <c r="I77" s="349" t="s">
        <v>1892</v>
      </c>
      <c r="J77" s="350">
        <v>275</v>
      </c>
      <c r="K77" s="314">
        <v>0</v>
      </c>
      <c r="L77" s="314">
        <v>38.5</v>
      </c>
      <c r="M77" s="314"/>
      <c r="N77" s="314"/>
      <c r="O77" s="314"/>
      <c r="P77" s="366">
        <f>K77*L77</f>
        <v>0</v>
      </c>
      <c r="Q77" s="351">
        <f>K77*J77/100</f>
        <v>0</v>
      </c>
      <c r="S77"/>
      <c r="T77"/>
      <c r="U77" s="1"/>
      <c r="V77" s="81"/>
      <c r="W77" s="82"/>
    </row>
    <row r="78" spans="9:23" x14ac:dyDescent="0.2">
      <c r="I78" s="349"/>
      <c r="J78" s="350"/>
      <c r="K78" s="356">
        <v>1600</v>
      </c>
      <c r="L78" s="356"/>
      <c r="M78" s="356"/>
      <c r="N78" s="356"/>
      <c r="O78" s="356"/>
      <c r="P78" s="366">
        <f>SUM(P73:P77)</f>
        <v>616</v>
      </c>
      <c r="Q78" s="352">
        <f>SUM(Q73:Q77)</f>
        <v>44</v>
      </c>
      <c r="R78" s="3">
        <f>K78*Q78</f>
        <v>70400</v>
      </c>
      <c r="S78"/>
      <c r="T78"/>
      <c r="U78" s="1"/>
      <c r="V78" s="81"/>
      <c r="W78" s="82"/>
    </row>
    <row r="79" spans="9:23" x14ac:dyDescent="0.2">
      <c r="I79" s="349"/>
      <c r="J79" s="350"/>
      <c r="K79" s="314"/>
      <c r="L79" s="314"/>
      <c r="M79" s="314"/>
      <c r="N79" s="314"/>
      <c r="O79" s="314"/>
      <c r="P79" s="366"/>
      <c r="Q79" s="351"/>
      <c r="R79" s="2"/>
      <c r="S79"/>
      <c r="T79"/>
      <c r="U79" s="1"/>
      <c r="V79" s="81"/>
      <c r="W79" s="82"/>
    </row>
    <row r="80" spans="9:23" x14ac:dyDescent="0.2">
      <c r="I80" s="349"/>
      <c r="J80" s="350"/>
      <c r="K80" s="314"/>
      <c r="L80" s="314"/>
      <c r="M80" s="314"/>
      <c r="N80" s="314"/>
      <c r="O80" s="314"/>
      <c r="P80" s="366"/>
      <c r="Q80" s="351"/>
      <c r="R80" s="2"/>
      <c r="S80"/>
      <c r="T80"/>
      <c r="U80" s="1"/>
      <c r="V80" s="81"/>
      <c r="W80" s="82"/>
    </row>
    <row r="81" spans="9:23" x14ac:dyDescent="0.2">
      <c r="I81" s="349"/>
      <c r="J81" s="350"/>
      <c r="K81" s="314" t="s">
        <v>642</v>
      </c>
      <c r="L81" s="314"/>
      <c r="M81" s="314"/>
      <c r="N81" s="314"/>
      <c r="O81" s="314"/>
      <c r="P81" s="366"/>
      <c r="Q81" s="351" t="s">
        <v>1024</v>
      </c>
      <c r="R81" s="2"/>
      <c r="S81"/>
      <c r="T81"/>
      <c r="U81" s="1"/>
      <c r="V81" s="81"/>
      <c r="W81" s="82"/>
    </row>
    <row r="82" spans="9:23" x14ac:dyDescent="0.2">
      <c r="I82" s="349" t="s">
        <v>1893</v>
      </c>
      <c r="J82" s="350">
        <v>100</v>
      </c>
      <c r="K82" s="314">
        <v>1</v>
      </c>
      <c r="L82" s="314">
        <v>14</v>
      </c>
      <c r="M82" s="314"/>
      <c r="N82" s="314"/>
      <c r="O82" s="314"/>
      <c r="P82" s="366">
        <f>K82*L82</f>
        <v>14</v>
      </c>
      <c r="Q82" s="351">
        <f>K82*J82/100</f>
        <v>1</v>
      </c>
      <c r="R82" s="2"/>
      <c r="S82"/>
      <c r="T82"/>
      <c r="U82" s="1"/>
      <c r="V82" s="81"/>
      <c r="W82" s="82"/>
    </row>
    <row r="83" spans="9:23" x14ac:dyDescent="0.2">
      <c r="I83" s="349" t="s">
        <v>1893</v>
      </c>
      <c r="J83" s="350">
        <v>125</v>
      </c>
      <c r="K83" s="314">
        <v>5</v>
      </c>
      <c r="L83" s="314">
        <v>17.5</v>
      </c>
      <c r="M83" s="314"/>
      <c r="N83" s="314"/>
      <c r="O83" s="314"/>
      <c r="P83" s="366">
        <f>K83*L83</f>
        <v>87.5</v>
      </c>
      <c r="Q83" s="351">
        <f>K83*J83/100</f>
        <v>6.25</v>
      </c>
      <c r="R83" s="2"/>
      <c r="S83"/>
      <c r="T83"/>
      <c r="U83" s="1"/>
      <c r="V83" s="81"/>
      <c r="W83" s="82"/>
    </row>
    <row r="84" spans="9:23" ht="13.5" thickBot="1" x14ac:dyDescent="0.25">
      <c r="I84" s="353"/>
      <c r="J84" s="354"/>
      <c r="K84" s="357">
        <v>1500</v>
      </c>
      <c r="L84" s="357"/>
      <c r="M84" s="357"/>
      <c r="N84" s="357"/>
      <c r="O84" s="357"/>
      <c r="P84" s="367">
        <f>SUM(P82:P83)</f>
        <v>101.5</v>
      </c>
      <c r="Q84" s="355">
        <f>SUM(Q82:Q83)</f>
        <v>7.25</v>
      </c>
      <c r="R84" s="3">
        <f>K84*Q84</f>
        <v>10875</v>
      </c>
      <c r="S84"/>
      <c r="T84"/>
      <c r="U84" s="1"/>
      <c r="V84" s="81"/>
      <c r="W84" s="82"/>
    </row>
    <row r="85" spans="9:23" x14ac:dyDescent="0.2">
      <c r="I85" s="77"/>
      <c r="J85" s="345"/>
    </row>
    <row r="86" spans="9:23" x14ac:dyDescent="0.2">
      <c r="I86" s="77"/>
      <c r="J86" s="345"/>
    </row>
    <row r="87" spans="9:23" x14ac:dyDescent="0.2">
      <c r="I87" s="77"/>
      <c r="J87" s="345"/>
    </row>
    <row r="88" spans="9:23" x14ac:dyDescent="0.2">
      <c r="I88" s="77"/>
      <c r="J88" s="345"/>
    </row>
  </sheetData>
  <mergeCells count="1">
    <mergeCell ref="M1:O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8"/>
  <dimension ref="B2:H58"/>
  <sheetViews>
    <sheetView zoomScaleNormal="100" workbookViewId="0">
      <selection activeCell="B19" sqref="B19"/>
    </sheetView>
  </sheetViews>
  <sheetFormatPr defaultRowHeight="12.75" x14ac:dyDescent="0.2"/>
  <cols>
    <col min="2" max="2" width="65.42578125" style="66" bestFit="1" customWidth="1"/>
    <col min="3" max="3" width="16.140625" bestFit="1" customWidth="1"/>
    <col min="4" max="4" width="16.5703125" customWidth="1"/>
    <col min="5" max="6" width="15.42578125" customWidth="1"/>
    <col min="7" max="7" width="15" customWidth="1"/>
    <col min="8" max="8" width="16.42578125" customWidth="1"/>
  </cols>
  <sheetData>
    <row r="2" spans="2:8" x14ac:dyDescent="0.2">
      <c r="B2" s="757"/>
      <c r="C2" s="12" t="s">
        <v>438</v>
      </c>
      <c r="D2" s="12" t="s">
        <v>439</v>
      </c>
      <c r="E2" s="12" t="s">
        <v>362</v>
      </c>
      <c r="F2" s="14" t="s">
        <v>363</v>
      </c>
      <c r="G2" s="14" t="s">
        <v>1509</v>
      </c>
      <c r="H2" s="14"/>
    </row>
    <row r="3" spans="2:8" x14ac:dyDescent="0.2">
      <c r="B3" s="757"/>
      <c r="C3" s="12"/>
      <c r="D3" s="12"/>
      <c r="E3" s="12"/>
      <c r="F3" s="14"/>
      <c r="G3" s="14"/>
      <c r="H3" s="14"/>
    </row>
    <row r="4" spans="2:8" x14ac:dyDescent="0.2">
      <c r="B4" s="757" t="s">
        <v>840</v>
      </c>
      <c r="C4" s="18">
        <v>1600000</v>
      </c>
      <c r="D4" s="18"/>
      <c r="E4" s="411">
        <v>1600000</v>
      </c>
      <c r="F4" s="411"/>
      <c r="G4" s="472">
        <f t="shared" ref="G4:G25" si="0">C4+D4-E4-F4</f>
        <v>0</v>
      </c>
      <c r="H4" s="14"/>
    </row>
    <row r="5" spans="2:8" x14ac:dyDescent="0.2">
      <c r="B5" s="757" t="s">
        <v>835</v>
      </c>
      <c r="C5" s="18">
        <v>240000</v>
      </c>
      <c r="D5" s="18">
        <v>165600</v>
      </c>
      <c r="E5" s="411">
        <v>240000</v>
      </c>
      <c r="F5" s="411">
        <v>165600</v>
      </c>
      <c r="G5" s="472">
        <f t="shared" si="0"/>
        <v>0</v>
      </c>
      <c r="H5" s="14"/>
    </row>
    <row r="6" spans="2:8" x14ac:dyDescent="0.2">
      <c r="B6" s="757" t="s">
        <v>1106</v>
      </c>
      <c r="C6" s="18">
        <v>147000</v>
      </c>
      <c r="D6" s="18">
        <v>90000</v>
      </c>
      <c r="E6" s="411">
        <v>147000</v>
      </c>
      <c r="F6" s="411">
        <v>90000</v>
      </c>
      <c r="G6" s="472">
        <f t="shared" si="0"/>
        <v>0</v>
      </c>
      <c r="H6" s="14"/>
    </row>
    <row r="7" spans="2:8" x14ac:dyDescent="0.2">
      <c r="B7" s="757" t="s">
        <v>1705</v>
      </c>
      <c r="C7" s="18">
        <v>15000</v>
      </c>
      <c r="D7" s="18"/>
      <c r="E7" s="411">
        <v>15000</v>
      </c>
      <c r="F7" s="411"/>
      <c r="G7" s="472">
        <f t="shared" si="0"/>
        <v>0</v>
      </c>
      <c r="H7" s="14"/>
    </row>
    <row r="8" spans="2:8" x14ac:dyDescent="0.2">
      <c r="B8" s="757" t="s">
        <v>1289</v>
      </c>
      <c r="C8" s="18">
        <v>5000</v>
      </c>
      <c r="D8" s="18">
        <v>11000</v>
      </c>
      <c r="E8" s="411">
        <v>5000</v>
      </c>
      <c r="F8" s="411">
        <v>11000</v>
      </c>
      <c r="G8" s="472">
        <f t="shared" si="0"/>
        <v>0</v>
      </c>
      <c r="H8" s="14"/>
    </row>
    <row r="9" spans="2:8" x14ac:dyDescent="0.2">
      <c r="B9" s="757" t="s">
        <v>33</v>
      </c>
      <c r="C9" s="18">
        <v>305000</v>
      </c>
      <c r="D9" s="18">
        <v>165000</v>
      </c>
      <c r="E9" s="411">
        <v>305000</v>
      </c>
      <c r="F9" s="411">
        <v>165000</v>
      </c>
      <c r="G9" s="472">
        <f t="shared" si="0"/>
        <v>0</v>
      </c>
      <c r="H9" s="14"/>
    </row>
    <row r="10" spans="2:8" x14ac:dyDescent="0.2">
      <c r="B10" s="757" t="s">
        <v>583</v>
      </c>
      <c r="C10" s="786">
        <v>504000</v>
      </c>
      <c r="D10" s="786">
        <v>246000</v>
      </c>
      <c r="E10" s="411">
        <v>504000</v>
      </c>
      <c r="F10" s="411">
        <v>246000</v>
      </c>
      <c r="G10" s="472">
        <f t="shared" si="0"/>
        <v>0</v>
      </c>
      <c r="H10" s="14"/>
    </row>
    <row r="11" spans="2:8" x14ac:dyDescent="0.2">
      <c r="B11" s="757" t="s">
        <v>1823</v>
      </c>
      <c r="C11" s="18">
        <v>137000</v>
      </c>
      <c r="D11" s="18">
        <v>121000</v>
      </c>
      <c r="E11" s="411">
        <v>137000</v>
      </c>
      <c r="F11" s="411">
        <v>121000</v>
      </c>
      <c r="G11" s="472">
        <f t="shared" si="0"/>
        <v>0</v>
      </c>
      <c r="H11" s="14"/>
    </row>
    <row r="12" spans="2:8" x14ac:dyDescent="0.2">
      <c r="B12" s="757" t="s">
        <v>1767</v>
      </c>
      <c r="C12" s="18">
        <v>85000</v>
      </c>
      <c r="D12" s="18"/>
      <c r="E12" s="411">
        <v>85000</v>
      </c>
      <c r="F12" s="411"/>
      <c r="G12" s="472">
        <f t="shared" si="0"/>
        <v>0</v>
      </c>
      <c r="H12" s="14"/>
    </row>
    <row r="13" spans="2:8" x14ac:dyDescent="0.2">
      <c r="B13" s="757" t="s">
        <v>1792</v>
      </c>
      <c r="C13" s="18">
        <v>49000</v>
      </c>
      <c r="D13" s="18">
        <v>25000</v>
      </c>
      <c r="E13" s="411">
        <v>49000</v>
      </c>
      <c r="F13" s="411">
        <v>25000</v>
      </c>
      <c r="G13" s="472">
        <f t="shared" si="0"/>
        <v>0</v>
      </c>
      <c r="H13" s="14"/>
    </row>
    <row r="14" spans="2:8" x14ac:dyDescent="0.2">
      <c r="B14" s="757" t="s">
        <v>99</v>
      </c>
      <c r="C14" s="18">
        <v>140000</v>
      </c>
      <c r="D14" s="18">
        <v>100000</v>
      </c>
      <c r="E14" s="411">
        <v>140000</v>
      </c>
      <c r="F14" s="411">
        <v>100000</v>
      </c>
      <c r="G14" s="472">
        <f t="shared" si="0"/>
        <v>0</v>
      </c>
      <c r="H14" s="14"/>
    </row>
    <row r="15" spans="2:8" x14ac:dyDescent="0.2">
      <c r="B15" s="757" t="s">
        <v>838</v>
      </c>
      <c r="C15" s="18">
        <v>200000</v>
      </c>
      <c r="D15" s="18">
        <v>170000</v>
      </c>
      <c r="E15" s="411">
        <v>200000</v>
      </c>
      <c r="F15" s="411">
        <v>170000</v>
      </c>
      <c r="G15" s="472">
        <f t="shared" si="0"/>
        <v>0</v>
      </c>
      <c r="H15" s="14"/>
    </row>
    <row r="16" spans="2:8" x14ac:dyDescent="0.2">
      <c r="B16" s="757" t="s">
        <v>1998</v>
      </c>
      <c r="C16" s="18">
        <v>20000</v>
      </c>
      <c r="D16" s="18">
        <v>810000</v>
      </c>
      <c r="E16" s="411">
        <v>20000</v>
      </c>
      <c r="F16" s="411">
        <v>810000</v>
      </c>
      <c r="G16" s="472">
        <f t="shared" si="0"/>
        <v>0</v>
      </c>
      <c r="H16" s="14"/>
    </row>
    <row r="17" spans="2:8" x14ac:dyDescent="0.2">
      <c r="B17" s="757" t="s">
        <v>2178</v>
      </c>
      <c r="C17" s="18">
        <v>1000000</v>
      </c>
      <c r="D17" s="18"/>
      <c r="E17" s="411">
        <v>1000000</v>
      </c>
      <c r="F17" s="411"/>
      <c r="G17" s="472">
        <f t="shared" si="0"/>
        <v>0</v>
      </c>
      <c r="H17" s="14"/>
    </row>
    <row r="18" spans="2:8" x14ac:dyDescent="0.2">
      <c r="B18" s="757" t="s">
        <v>2153</v>
      </c>
      <c r="C18" s="18">
        <v>83000</v>
      </c>
      <c r="D18" s="18">
        <v>10000</v>
      </c>
      <c r="E18" s="411">
        <v>83000</v>
      </c>
      <c r="F18" s="411">
        <v>10000</v>
      </c>
      <c r="G18" s="472">
        <f t="shared" si="0"/>
        <v>0</v>
      </c>
      <c r="H18" s="14"/>
    </row>
    <row r="19" spans="2:8" x14ac:dyDescent="0.2">
      <c r="B19" s="757" t="s">
        <v>2240</v>
      </c>
      <c r="C19" s="18">
        <v>230000</v>
      </c>
      <c r="D19" s="18">
        <v>20000</v>
      </c>
      <c r="E19" s="411">
        <v>230000</v>
      </c>
      <c r="F19" s="411">
        <v>20000</v>
      </c>
      <c r="G19" s="692">
        <f t="shared" si="0"/>
        <v>0</v>
      </c>
      <c r="H19" s="14"/>
    </row>
    <row r="20" spans="2:8" x14ac:dyDescent="0.2">
      <c r="B20" s="758" t="s">
        <v>1824</v>
      </c>
      <c r="C20" s="52">
        <v>240000</v>
      </c>
      <c r="D20" s="52">
        <v>100000</v>
      </c>
      <c r="E20" s="412">
        <v>240000</v>
      </c>
      <c r="F20" s="412">
        <v>100000</v>
      </c>
      <c r="G20" s="784">
        <f t="shared" si="0"/>
        <v>0</v>
      </c>
      <c r="H20" s="654"/>
    </row>
    <row r="21" spans="2:8" x14ac:dyDescent="0.2">
      <c r="B21" s="758" t="s">
        <v>2314</v>
      </c>
      <c r="C21" s="52">
        <v>20000</v>
      </c>
      <c r="D21" s="52">
        <v>190000</v>
      </c>
      <c r="E21" s="412">
        <v>20000</v>
      </c>
      <c r="F21" s="412">
        <v>190000</v>
      </c>
      <c r="G21" s="784">
        <f t="shared" si="0"/>
        <v>0</v>
      </c>
      <c r="H21" s="654"/>
    </row>
    <row r="22" spans="2:8" x14ac:dyDescent="0.2">
      <c r="B22" s="758" t="s">
        <v>437</v>
      </c>
      <c r="C22" s="52">
        <v>108000</v>
      </c>
      <c r="D22" s="52">
        <v>332000</v>
      </c>
      <c r="E22" s="412">
        <v>108000</v>
      </c>
      <c r="F22" s="412">
        <v>332000</v>
      </c>
      <c r="G22" s="784">
        <f t="shared" si="0"/>
        <v>0</v>
      </c>
      <c r="H22" s="654"/>
    </row>
    <row r="23" spans="2:8" x14ac:dyDescent="0.2">
      <c r="B23" s="758" t="s">
        <v>2249</v>
      </c>
      <c r="C23" s="18">
        <v>810000</v>
      </c>
      <c r="D23" s="18">
        <v>391000</v>
      </c>
      <c r="E23" s="411">
        <v>810000</v>
      </c>
      <c r="F23" s="411">
        <v>391000</v>
      </c>
      <c r="G23" s="692">
        <f t="shared" si="0"/>
        <v>0</v>
      </c>
      <c r="H23" s="14"/>
    </row>
    <row r="24" spans="2:8" x14ac:dyDescent="0.2">
      <c r="B24" s="758" t="s">
        <v>304</v>
      </c>
      <c r="C24" s="18">
        <v>216000</v>
      </c>
      <c r="D24" s="18">
        <v>50000</v>
      </c>
      <c r="E24" s="411">
        <v>216000</v>
      </c>
      <c r="F24" s="411">
        <v>50000</v>
      </c>
      <c r="G24" s="692">
        <f t="shared" si="0"/>
        <v>0</v>
      </c>
      <c r="H24" s="14"/>
    </row>
    <row r="25" spans="2:8" x14ac:dyDescent="0.2">
      <c r="B25" s="758" t="s">
        <v>1279</v>
      </c>
      <c r="C25" s="18">
        <v>45000</v>
      </c>
      <c r="D25" s="18">
        <v>45000</v>
      </c>
      <c r="E25" s="411">
        <v>45000</v>
      </c>
      <c r="F25" s="411">
        <v>45000</v>
      </c>
      <c r="G25" s="692">
        <f t="shared" si="0"/>
        <v>0</v>
      </c>
      <c r="H25" s="14"/>
    </row>
    <row r="26" spans="2:8" x14ac:dyDescent="0.2">
      <c r="B26" s="758" t="s">
        <v>1758</v>
      </c>
      <c r="C26" s="18">
        <v>145000</v>
      </c>
      <c r="D26" s="18">
        <v>318000</v>
      </c>
      <c r="E26" s="411">
        <v>145000</v>
      </c>
      <c r="F26" s="411">
        <v>318000</v>
      </c>
      <c r="G26" s="692">
        <f t="shared" ref="G26:G32" si="1">C26+D26-E26-F26</f>
        <v>0</v>
      </c>
      <c r="H26" s="14"/>
    </row>
    <row r="27" spans="2:8" x14ac:dyDescent="0.2">
      <c r="B27" s="758" t="s">
        <v>817</v>
      </c>
      <c r="C27" s="18">
        <v>150000</v>
      </c>
      <c r="D27" s="18">
        <v>196000</v>
      </c>
      <c r="E27" s="411">
        <v>150000</v>
      </c>
      <c r="F27" s="411">
        <v>196000</v>
      </c>
      <c r="G27" s="692">
        <f t="shared" si="1"/>
        <v>0</v>
      </c>
      <c r="H27" s="14"/>
    </row>
    <row r="28" spans="2:8" x14ac:dyDescent="0.2">
      <c r="B28" s="758" t="s">
        <v>1759</v>
      </c>
      <c r="C28" s="18">
        <v>527000</v>
      </c>
      <c r="D28" s="18">
        <v>25000</v>
      </c>
      <c r="E28" s="411">
        <v>527000</v>
      </c>
      <c r="F28" s="411">
        <v>25000</v>
      </c>
      <c r="G28" s="692">
        <f t="shared" si="1"/>
        <v>0</v>
      </c>
      <c r="H28" s="14"/>
    </row>
    <row r="29" spans="2:8" x14ac:dyDescent="0.2">
      <c r="B29" s="758" t="s">
        <v>2212</v>
      </c>
      <c r="C29" s="18">
        <v>35000</v>
      </c>
      <c r="D29" s="18"/>
      <c r="E29" s="411">
        <v>35000</v>
      </c>
      <c r="F29" s="411"/>
      <c r="G29" s="692">
        <f>C29+D29-E29-F29</f>
        <v>0</v>
      </c>
      <c r="H29" s="14"/>
    </row>
    <row r="30" spans="2:8" x14ac:dyDescent="0.2">
      <c r="B30" s="758" t="s">
        <v>582</v>
      </c>
      <c r="C30" s="18">
        <v>38000</v>
      </c>
      <c r="D30" s="18"/>
      <c r="E30" s="411">
        <v>38000</v>
      </c>
      <c r="F30" s="411"/>
      <c r="G30" s="692">
        <f>C30+D30-E30-F30</f>
        <v>0</v>
      </c>
      <c r="H30" s="14"/>
    </row>
    <row r="31" spans="2:8" x14ac:dyDescent="0.2">
      <c r="B31" s="758" t="s">
        <v>1119</v>
      </c>
      <c r="C31" s="18">
        <v>103000</v>
      </c>
      <c r="D31" s="18">
        <v>10000</v>
      </c>
      <c r="E31" s="411">
        <v>103000</v>
      </c>
      <c r="F31" s="411">
        <v>10000</v>
      </c>
      <c r="G31" s="692">
        <f t="shared" si="1"/>
        <v>0</v>
      </c>
      <c r="H31" s="14"/>
    </row>
    <row r="32" spans="2:8" x14ac:dyDescent="0.2">
      <c r="B32" s="758" t="s">
        <v>2215</v>
      </c>
      <c r="C32" s="18"/>
      <c r="D32" s="18">
        <v>60000</v>
      </c>
      <c r="E32" s="411"/>
      <c r="F32" s="411">
        <v>60000</v>
      </c>
      <c r="G32" s="692">
        <f t="shared" si="1"/>
        <v>0</v>
      </c>
      <c r="H32" s="14"/>
    </row>
    <row r="33" spans="2:8" x14ac:dyDescent="0.2">
      <c r="B33" s="758" t="s">
        <v>2445</v>
      </c>
      <c r="C33" s="18">
        <v>16350</v>
      </c>
      <c r="D33" s="18"/>
      <c r="E33" s="411">
        <v>16350</v>
      </c>
      <c r="F33" s="411"/>
      <c r="G33" s="692">
        <f t="shared" ref="G33:G44" si="2">C33+D33-E33-F33</f>
        <v>0</v>
      </c>
      <c r="H33" s="14"/>
    </row>
    <row r="34" spans="2:8" x14ac:dyDescent="0.2">
      <c r="B34" s="758" t="s">
        <v>1475</v>
      </c>
      <c r="C34" s="52">
        <v>600000</v>
      </c>
      <c r="D34" s="52"/>
      <c r="E34" s="412"/>
      <c r="F34" s="412">
        <v>600000</v>
      </c>
      <c r="G34" s="784">
        <f t="shared" si="2"/>
        <v>0</v>
      </c>
      <c r="H34" s="14"/>
    </row>
    <row r="35" spans="2:8" x14ac:dyDescent="0.2">
      <c r="B35" s="758" t="s">
        <v>2468</v>
      </c>
      <c r="C35" s="52">
        <v>720000</v>
      </c>
      <c r="D35" s="52"/>
      <c r="E35" s="412"/>
      <c r="F35" s="412">
        <v>720000</v>
      </c>
      <c r="G35" s="784">
        <f t="shared" si="2"/>
        <v>0</v>
      </c>
      <c r="H35" s="14"/>
    </row>
    <row r="36" spans="2:8" x14ac:dyDescent="0.2">
      <c r="B36" s="758" t="s">
        <v>2511</v>
      </c>
      <c r="C36" s="52"/>
      <c r="D36" s="52">
        <v>65000</v>
      </c>
      <c r="E36" s="412"/>
      <c r="F36" s="412">
        <v>65000</v>
      </c>
      <c r="G36" s="784">
        <f t="shared" si="2"/>
        <v>0</v>
      </c>
      <c r="H36" s="14"/>
    </row>
    <row r="37" spans="2:8" x14ac:dyDescent="0.2">
      <c r="B37" s="758" t="s">
        <v>2571</v>
      </c>
      <c r="C37" s="52">
        <v>414000</v>
      </c>
      <c r="D37" s="52"/>
      <c r="E37" s="412">
        <v>414000</v>
      </c>
      <c r="F37" s="412"/>
      <c r="G37" s="784">
        <f t="shared" si="2"/>
        <v>0</v>
      </c>
      <c r="H37" s="14"/>
    </row>
    <row r="38" spans="2:8" x14ac:dyDescent="0.2">
      <c r="B38" s="758" t="s">
        <v>839</v>
      </c>
      <c r="C38" s="52">
        <v>113500</v>
      </c>
      <c r="D38" s="52">
        <v>95000</v>
      </c>
      <c r="E38" s="412">
        <v>113500</v>
      </c>
      <c r="F38" s="412">
        <v>95000</v>
      </c>
      <c r="G38" s="784">
        <f t="shared" si="2"/>
        <v>0</v>
      </c>
      <c r="H38" s="14"/>
    </row>
    <row r="39" spans="2:8" x14ac:dyDescent="0.2">
      <c r="B39" s="758" t="s">
        <v>578</v>
      </c>
      <c r="C39" s="18">
        <v>59000</v>
      </c>
      <c r="D39" s="18"/>
      <c r="E39" s="411">
        <v>52500</v>
      </c>
      <c r="F39" s="411"/>
      <c r="G39" s="692">
        <f t="shared" si="2"/>
        <v>6500</v>
      </c>
      <c r="H39" s="14"/>
    </row>
    <row r="40" spans="2:8" x14ac:dyDescent="0.2">
      <c r="B40" s="758" t="s">
        <v>2572</v>
      </c>
      <c r="C40" s="18">
        <v>205000</v>
      </c>
      <c r="D40" s="18">
        <v>470000</v>
      </c>
      <c r="E40" s="411">
        <v>205000</v>
      </c>
      <c r="F40" s="411">
        <v>470000</v>
      </c>
      <c r="G40" s="692">
        <f>C40+D40-E40-F40</f>
        <v>0</v>
      </c>
      <c r="H40" s="14"/>
    </row>
    <row r="41" spans="2:8" x14ac:dyDescent="0.2">
      <c r="B41" s="758" t="s">
        <v>631</v>
      </c>
      <c r="C41" s="18">
        <v>581000</v>
      </c>
      <c r="D41" s="18"/>
      <c r="E41" s="411">
        <v>581000</v>
      </c>
      <c r="F41" s="411"/>
      <c r="G41" s="692">
        <f>C41+D41-E41-F41</f>
        <v>0</v>
      </c>
      <c r="H41" s="14"/>
    </row>
    <row r="42" spans="2:8" x14ac:dyDescent="0.2">
      <c r="B42" s="758" t="s">
        <v>2450</v>
      </c>
      <c r="C42" s="52">
        <v>85000</v>
      </c>
      <c r="D42" s="52"/>
      <c r="E42" s="412">
        <v>85000</v>
      </c>
      <c r="F42" s="412"/>
      <c r="G42" s="784">
        <f>C42+D42-E42-F42</f>
        <v>0</v>
      </c>
      <c r="H42" s="14"/>
    </row>
    <row r="43" spans="2:8" x14ac:dyDescent="0.2">
      <c r="B43" s="758" t="s">
        <v>2512</v>
      </c>
      <c r="C43" s="18">
        <v>25000</v>
      </c>
      <c r="D43" s="18">
        <v>50000</v>
      </c>
      <c r="E43" s="411">
        <v>25000</v>
      </c>
      <c r="F43" s="411">
        <v>50000</v>
      </c>
      <c r="G43" s="692">
        <f>C43+D43-E43-F43</f>
        <v>0</v>
      </c>
      <c r="H43" s="14"/>
    </row>
    <row r="44" spans="2:8" s="674" customFormat="1" x14ac:dyDescent="0.2">
      <c r="B44" s="811" t="s">
        <v>2079</v>
      </c>
      <c r="C44" s="812">
        <v>50000</v>
      </c>
      <c r="D44" s="812">
        <v>90000</v>
      </c>
      <c r="E44" s="812"/>
      <c r="F44" s="812">
        <v>90000</v>
      </c>
      <c r="G44" s="813">
        <f t="shared" si="2"/>
        <v>50000</v>
      </c>
      <c r="H44" s="814"/>
    </row>
    <row r="45" spans="2:8" x14ac:dyDescent="0.2">
      <c r="B45" s="757" t="s">
        <v>1825</v>
      </c>
      <c r="C45" s="749"/>
      <c r="D45" s="749"/>
      <c r="E45" s="412"/>
      <c r="F45" s="412"/>
      <c r="G45" s="748">
        <f>C45+D45-E45-F45</f>
        <v>0</v>
      </c>
      <c r="H45" s="14" t="s">
        <v>2206</v>
      </c>
    </row>
    <row r="46" spans="2:8" s="339" customFormat="1" x14ac:dyDescent="0.2">
      <c r="B46" s="787" t="s">
        <v>2412</v>
      </c>
      <c r="C46" s="749">
        <v>140000</v>
      </c>
      <c r="D46" s="749"/>
      <c r="E46" s="412">
        <v>122000</v>
      </c>
      <c r="F46" s="412"/>
      <c r="G46" s="748">
        <f>C46+D46-E46-F46</f>
        <v>18000</v>
      </c>
      <c r="H46" s="378"/>
    </row>
    <row r="47" spans="2:8" x14ac:dyDescent="0.2">
      <c r="B47" s="757" t="s">
        <v>99</v>
      </c>
      <c r="C47" s="749"/>
      <c r="D47" s="749"/>
      <c r="E47" s="412"/>
      <c r="F47" s="412"/>
      <c r="G47" s="748">
        <f>C47+D47-E47-F47</f>
        <v>0</v>
      </c>
      <c r="H47" s="14"/>
    </row>
    <row r="48" spans="2:8" x14ac:dyDescent="0.2">
      <c r="B48" s="757"/>
      <c r="C48" s="12"/>
      <c r="D48" s="12"/>
      <c r="E48" s="12"/>
      <c r="F48" s="12"/>
      <c r="G48" s="473">
        <f>SUM(G5:G47)</f>
        <v>74500</v>
      </c>
      <c r="H48" s="14"/>
    </row>
    <row r="49" spans="2:8" x14ac:dyDescent="0.2">
      <c r="B49" s="757"/>
      <c r="C49" s="12"/>
      <c r="D49" s="12"/>
      <c r="E49" s="12"/>
      <c r="F49" s="12"/>
      <c r="G49" s="473"/>
      <c r="H49" s="14"/>
    </row>
    <row r="50" spans="2:8" x14ac:dyDescent="0.2">
      <c r="B50" s="758" t="s">
        <v>1107</v>
      </c>
      <c r="C50" s="52">
        <v>500000</v>
      </c>
      <c r="D50" s="52"/>
      <c r="E50" s="412"/>
      <c r="F50" s="412"/>
      <c r="G50" s="784">
        <f>C50+D50-E50-F50</f>
        <v>500000</v>
      </c>
      <c r="H50" s="14"/>
    </row>
    <row r="51" spans="2:8" x14ac:dyDescent="0.2">
      <c r="B51" s="758" t="s">
        <v>2452</v>
      </c>
      <c r="C51" s="52">
        <v>150000</v>
      </c>
      <c r="D51" s="52"/>
      <c r="E51" s="412"/>
      <c r="F51" s="412"/>
      <c r="G51" s="784">
        <f>C51+D51-E51-F51</f>
        <v>150000</v>
      </c>
      <c r="H51" s="14"/>
    </row>
    <row r="52" spans="2:8" x14ac:dyDescent="0.2">
      <c r="B52" s="758" t="s">
        <v>2451</v>
      </c>
      <c r="C52" s="52">
        <v>50000</v>
      </c>
      <c r="D52" s="52"/>
      <c r="E52" s="412"/>
      <c r="F52" s="412"/>
      <c r="G52" s="784">
        <f>C52+D52-E52-F52</f>
        <v>50000</v>
      </c>
      <c r="H52" s="14"/>
    </row>
    <row r="53" spans="2:8" x14ac:dyDescent="0.2">
      <c r="B53" s="758" t="s">
        <v>2453</v>
      </c>
      <c r="C53" s="52">
        <v>250000</v>
      </c>
      <c r="D53" s="52"/>
      <c r="E53" s="412"/>
      <c r="F53" s="412"/>
      <c r="G53" s="784">
        <f>C53+D53-E53-F53</f>
        <v>250000</v>
      </c>
      <c r="H53" s="14"/>
    </row>
    <row r="54" spans="2:8" x14ac:dyDescent="0.2">
      <c r="B54" s="758" t="s">
        <v>1125</v>
      </c>
      <c r="C54" s="52">
        <v>50000</v>
      </c>
      <c r="D54" s="52"/>
      <c r="E54" s="412"/>
      <c r="F54" s="412"/>
      <c r="G54" s="784">
        <f>C54+D54-E54-F54</f>
        <v>50000</v>
      </c>
      <c r="H54" s="14"/>
    </row>
    <row r="55" spans="2:8" x14ac:dyDescent="0.2">
      <c r="B55" s="757"/>
      <c r="C55" s="14"/>
      <c r="D55" s="12"/>
      <c r="E55" s="12"/>
      <c r="F55" s="14"/>
      <c r="G55" s="785">
        <f>SUM(G50:G54)</f>
        <v>1000000</v>
      </c>
      <c r="H55" s="14"/>
    </row>
    <row r="56" spans="2:8" x14ac:dyDescent="0.2">
      <c r="B56" s="757"/>
      <c r="C56" s="14"/>
      <c r="D56" s="12"/>
      <c r="E56" s="12"/>
      <c r="F56" s="14"/>
      <c r="G56" s="14"/>
      <c r="H56" s="14"/>
    </row>
    <row r="57" spans="2:8" x14ac:dyDescent="0.2">
      <c r="B57" s="757"/>
      <c r="C57" s="14"/>
      <c r="D57" s="12"/>
      <c r="E57" s="12"/>
      <c r="F57" s="14"/>
      <c r="G57" s="14"/>
      <c r="H57" s="14"/>
    </row>
    <row r="58" spans="2:8" x14ac:dyDescent="0.2">
      <c r="B58" s="757"/>
      <c r="C58" s="14"/>
      <c r="D58" s="12"/>
      <c r="E58" s="12"/>
      <c r="F58" s="78"/>
      <c r="G58" s="14"/>
      <c r="H58" s="14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Munka37"/>
  <dimension ref="B2:O53"/>
  <sheetViews>
    <sheetView workbookViewId="0">
      <selection activeCell="K20" sqref="K20"/>
    </sheetView>
  </sheetViews>
  <sheetFormatPr defaultRowHeight="11.25" x14ac:dyDescent="0.2"/>
  <cols>
    <col min="1" max="1" width="2.5703125" style="120" customWidth="1"/>
    <col min="2" max="2" width="15.7109375" style="120" bestFit="1" customWidth="1"/>
    <col min="3" max="3" width="12.140625" style="116" customWidth="1"/>
    <col min="4" max="4" width="12.140625" style="120" customWidth="1"/>
    <col min="5" max="5" width="12.140625" style="122" customWidth="1"/>
    <col min="6" max="7" width="12.140625" style="120" customWidth="1"/>
    <col min="8" max="8" width="12.140625" style="122" customWidth="1"/>
    <col min="9" max="10" width="12.140625" style="120" customWidth="1"/>
    <col min="11" max="11" width="12.140625" style="122" customWidth="1"/>
    <col min="12" max="15" width="12.140625" style="120" customWidth="1"/>
    <col min="16" max="16384" width="9.140625" style="120"/>
  </cols>
  <sheetData>
    <row r="2" spans="2:15" x14ac:dyDescent="0.2">
      <c r="D2" s="122" t="s">
        <v>556</v>
      </c>
      <c r="G2" s="122" t="s">
        <v>557</v>
      </c>
      <c r="J2" s="122" t="s">
        <v>558</v>
      </c>
      <c r="M2" s="122" t="s">
        <v>559</v>
      </c>
    </row>
    <row r="3" spans="2:15" ht="12" thickBot="1" x14ac:dyDescent="0.25">
      <c r="C3" s="122" t="s">
        <v>555</v>
      </c>
      <c r="D3" s="122" t="s">
        <v>538</v>
      </c>
      <c r="E3" s="122" t="s">
        <v>544</v>
      </c>
      <c r="F3" s="122" t="s">
        <v>545</v>
      </c>
      <c r="G3" s="122" t="s">
        <v>538</v>
      </c>
      <c r="H3" s="122" t="s">
        <v>544</v>
      </c>
      <c r="I3" s="122" t="s">
        <v>545</v>
      </c>
      <c r="J3" s="122" t="s">
        <v>539</v>
      </c>
      <c r="K3" s="122" t="s">
        <v>544</v>
      </c>
      <c r="L3" s="122" t="s">
        <v>545</v>
      </c>
      <c r="M3" s="122" t="s">
        <v>542</v>
      </c>
      <c r="N3" s="122" t="s">
        <v>544</v>
      </c>
      <c r="O3" s="122" t="s">
        <v>545</v>
      </c>
    </row>
    <row r="4" spans="2:15" ht="12" thickBot="1" x14ac:dyDescent="0.25">
      <c r="B4" s="120" t="s">
        <v>562</v>
      </c>
      <c r="C4" s="400">
        <f t="shared" ref="C4:C9" si="0">F4+I4+L4+O4</f>
        <v>1732788</v>
      </c>
      <c r="D4" s="398">
        <v>9488</v>
      </c>
      <c r="E4" s="399">
        <v>48</v>
      </c>
      <c r="F4" s="401">
        <f t="shared" ref="F4:F9" si="1">D4*E4</f>
        <v>455424</v>
      </c>
      <c r="G4" s="402">
        <f>D4</f>
        <v>9488</v>
      </c>
      <c r="H4" s="403">
        <v>53</v>
      </c>
      <c r="I4" s="437">
        <f t="shared" ref="I4:I9" si="2">G4*H4</f>
        <v>502864</v>
      </c>
      <c r="J4" s="402">
        <v>11500</v>
      </c>
      <c r="K4" s="403">
        <v>35</v>
      </c>
      <c r="L4" s="401">
        <f t="shared" ref="L4:L9" si="3">J4*K4</f>
        <v>402500</v>
      </c>
      <c r="M4" s="402">
        <v>31000</v>
      </c>
      <c r="N4" s="403">
        <v>12</v>
      </c>
      <c r="O4" s="401">
        <f t="shared" ref="O4:O9" si="4">M4*N4</f>
        <v>372000</v>
      </c>
    </row>
    <row r="5" spans="2:15" x14ac:dyDescent="0.2">
      <c r="B5" s="120" t="s">
        <v>541</v>
      </c>
      <c r="C5" s="400">
        <f t="shared" si="0"/>
        <v>1865500</v>
      </c>
      <c r="D5" s="398">
        <v>10500</v>
      </c>
      <c r="E5" s="399">
        <f>$E$4</f>
        <v>48</v>
      </c>
      <c r="F5" s="401">
        <f t="shared" si="1"/>
        <v>504000</v>
      </c>
      <c r="G5" s="402">
        <f>D5</f>
        <v>10500</v>
      </c>
      <c r="H5" s="403">
        <f>$H$4</f>
        <v>53</v>
      </c>
      <c r="I5" s="401">
        <f t="shared" si="2"/>
        <v>556500</v>
      </c>
      <c r="J5" s="402">
        <v>11000</v>
      </c>
      <c r="K5" s="403">
        <f>$K$4</f>
        <v>35</v>
      </c>
      <c r="L5" s="401">
        <f t="shared" si="3"/>
        <v>385000</v>
      </c>
      <c r="M5" s="402">
        <v>35000</v>
      </c>
      <c r="N5" s="403">
        <f>$N$4</f>
        <v>12</v>
      </c>
      <c r="O5" s="401">
        <f t="shared" si="4"/>
        <v>420000</v>
      </c>
    </row>
    <row r="6" spans="2:15" x14ac:dyDescent="0.2">
      <c r="C6" s="400">
        <f t="shared" si="0"/>
        <v>2035625</v>
      </c>
      <c r="D6" s="398">
        <v>11943</v>
      </c>
      <c r="E6" s="399">
        <f>$E$4</f>
        <v>48</v>
      </c>
      <c r="F6" s="401">
        <f t="shared" si="1"/>
        <v>573264</v>
      </c>
      <c r="G6" s="402">
        <f>D6</f>
        <v>11943</v>
      </c>
      <c r="H6" s="403">
        <f>$H$4</f>
        <v>53</v>
      </c>
      <c r="I6" s="401">
        <f t="shared" si="2"/>
        <v>632979</v>
      </c>
      <c r="J6" s="402">
        <v>14470</v>
      </c>
      <c r="K6" s="403">
        <f>$K$4</f>
        <v>35</v>
      </c>
      <c r="L6" s="401">
        <f t="shared" si="3"/>
        <v>506450</v>
      </c>
      <c r="M6" s="402">
        <v>26911</v>
      </c>
      <c r="N6" s="403">
        <f>$N$4</f>
        <v>12</v>
      </c>
      <c r="O6" s="401">
        <f t="shared" si="4"/>
        <v>322932</v>
      </c>
    </row>
    <row r="7" spans="2:15" x14ac:dyDescent="0.2">
      <c r="B7" s="120" t="s">
        <v>563</v>
      </c>
      <c r="C7" s="400">
        <f t="shared" si="0"/>
        <v>2055500</v>
      </c>
      <c r="D7" s="398">
        <v>11625</v>
      </c>
      <c r="E7" s="399">
        <f>$E$4</f>
        <v>48</v>
      </c>
      <c r="F7" s="401">
        <f t="shared" si="1"/>
        <v>558000</v>
      </c>
      <c r="G7" s="402">
        <f>D7</f>
        <v>11625</v>
      </c>
      <c r="H7" s="403">
        <f>$H$4</f>
        <v>53</v>
      </c>
      <c r="I7" s="401">
        <f t="shared" si="2"/>
        <v>616125</v>
      </c>
      <c r="J7" s="402">
        <v>14485</v>
      </c>
      <c r="K7" s="403">
        <f>$K$4</f>
        <v>35</v>
      </c>
      <c r="L7" s="401">
        <f t="shared" si="3"/>
        <v>506975</v>
      </c>
      <c r="M7" s="402">
        <v>31200</v>
      </c>
      <c r="N7" s="403">
        <f>$N$4</f>
        <v>12</v>
      </c>
      <c r="O7" s="401">
        <f t="shared" si="4"/>
        <v>374400</v>
      </c>
    </row>
    <row r="8" spans="2:15" x14ac:dyDescent="0.2">
      <c r="B8" s="120" t="s">
        <v>554</v>
      </c>
      <c r="C8" s="400">
        <f t="shared" si="0"/>
        <v>1569700</v>
      </c>
      <c r="D8" s="398">
        <v>8400</v>
      </c>
      <c r="E8" s="399">
        <f>$E$4</f>
        <v>48</v>
      </c>
      <c r="F8" s="401">
        <f t="shared" si="1"/>
        <v>403200</v>
      </c>
      <c r="G8" s="402">
        <f>D8</f>
        <v>8400</v>
      </c>
      <c r="H8" s="403">
        <f>$H$4</f>
        <v>53</v>
      </c>
      <c r="I8" s="401">
        <f t="shared" si="2"/>
        <v>445200</v>
      </c>
      <c r="J8" s="402">
        <v>10700</v>
      </c>
      <c r="K8" s="403">
        <f>$K$4</f>
        <v>35</v>
      </c>
      <c r="L8" s="401">
        <f t="shared" si="3"/>
        <v>374500</v>
      </c>
      <c r="M8" s="402">
        <v>28900</v>
      </c>
      <c r="N8" s="403">
        <f>$N$4</f>
        <v>12</v>
      </c>
      <c r="O8" s="401">
        <f t="shared" si="4"/>
        <v>346800</v>
      </c>
    </row>
    <row r="9" spans="2:15" x14ac:dyDescent="0.2">
      <c r="B9" s="120" t="s">
        <v>560</v>
      </c>
      <c r="C9" s="400">
        <f t="shared" si="0"/>
        <v>1104300</v>
      </c>
      <c r="D9" s="398">
        <f>F15</f>
        <v>8381.25</v>
      </c>
      <c r="E9" s="399">
        <f>$E$4</f>
        <v>48</v>
      </c>
      <c r="F9" s="401">
        <f t="shared" si="1"/>
        <v>402300</v>
      </c>
      <c r="G9" s="402">
        <v>0</v>
      </c>
      <c r="H9" s="403">
        <f>$H$4</f>
        <v>53</v>
      </c>
      <c r="I9" s="401">
        <f t="shared" si="2"/>
        <v>0</v>
      </c>
      <c r="J9" s="402">
        <f>L15</f>
        <v>10371.428571428571</v>
      </c>
      <c r="K9" s="403">
        <f>$K$4</f>
        <v>35</v>
      </c>
      <c r="L9" s="401">
        <f t="shared" si="3"/>
        <v>363000</v>
      </c>
      <c r="M9" s="402">
        <f>O15</f>
        <v>28250</v>
      </c>
      <c r="N9" s="403">
        <f>$N$4</f>
        <v>12</v>
      </c>
      <c r="O9" s="401">
        <f t="shared" si="4"/>
        <v>339000</v>
      </c>
    </row>
    <row r="10" spans="2:15" ht="12" thickBot="1" x14ac:dyDescent="0.25">
      <c r="F10" s="405"/>
      <c r="G10" s="405"/>
      <c r="H10" s="406"/>
      <c r="I10" s="405"/>
      <c r="J10" s="405"/>
      <c r="K10" s="406"/>
      <c r="L10" s="405"/>
      <c r="M10" s="405"/>
      <c r="N10" s="405"/>
      <c r="O10" s="405"/>
    </row>
    <row r="11" spans="2:15" x14ac:dyDescent="0.2">
      <c r="C11" s="400">
        <f>F11+I11+L11+O11</f>
        <v>654300</v>
      </c>
      <c r="D11" s="398">
        <f>D12*0.8*1.125</f>
        <v>8100</v>
      </c>
      <c r="E11" s="399">
        <v>33</v>
      </c>
      <c r="F11" s="435">
        <f>D11*E11</f>
        <v>267300</v>
      </c>
      <c r="J11" s="398">
        <f>J12*0.8*1.125</f>
        <v>9900</v>
      </c>
      <c r="K11" s="399">
        <v>20</v>
      </c>
      <c r="L11" s="435">
        <f>J11*K11</f>
        <v>198000</v>
      </c>
      <c r="M11" s="398">
        <f>M12*0.8*1.125</f>
        <v>27000</v>
      </c>
      <c r="N11" s="399">
        <v>7</v>
      </c>
      <c r="O11" s="435">
        <f>M11*N11</f>
        <v>189000</v>
      </c>
    </row>
    <row r="12" spans="2:15" ht="12" thickBot="1" x14ac:dyDescent="0.25">
      <c r="C12" s="400">
        <f>F12+I12+L12+O12</f>
        <v>450000</v>
      </c>
      <c r="D12" s="398">
        <v>9000</v>
      </c>
      <c r="E12" s="399">
        <f>E4-E11</f>
        <v>15</v>
      </c>
      <c r="F12" s="436">
        <f>D12*E12</f>
        <v>135000</v>
      </c>
      <c r="J12" s="398">
        <v>11000</v>
      </c>
      <c r="K12" s="399">
        <f>K4-K11</f>
        <v>15</v>
      </c>
      <c r="L12" s="436">
        <f>J12*K12</f>
        <v>165000</v>
      </c>
      <c r="M12" s="398">
        <v>30000</v>
      </c>
      <c r="N12" s="399">
        <f>N4-N11</f>
        <v>5</v>
      </c>
      <c r="O12" s="436">
        <f>M12*N12</f>
        <v>150000</v>
      </c>
    </row>
    <row r="13" spans="2:15" x14ac:dyDescent="0.2">
      <c r="K13" s="120"/>
      <c r="L13" s="122"/>
      <c r="O13" s="122"/>
    </row>
    <row r="14" spans="2:15" ht="12" thickBot="1" x14ac:dyDescent="0.25">
      <c r="K14" s="120"/>
      <c r="L14" s="122"/>
      <c r="O14" s="122"/>
    </row>
    <row r="15" spans="2:15" ht="12" thickBot="1" x14ac:dyDescent="0.25">
      <c r="C15" s="438">
        <f>C11+C12+I4</f>
        <v>1607164</v>
      </c>
      <c r="F15" s="404">
        <f>(F11+F12)/(E11+E12)</f>
        <v>8381.25</v>
      </c>
      <c r="K15" s="120"/>
      <c r="L15" s="404">
        <f>(L11+L12)/(K11+K12)</f>
        <v>10371.428571428571</v>
      </c>
      <c r="O15" s="404">
        <f>(O11+O12)/(N11+N12)</f>
        <v>28250</v>
      </c>
    </row>
    <row r="16" spans="2:15" x14ac:dyDescent="0.2">
      <c r="F16" s="405"/>
      <c r="G16" s="122" t="s">
        <v>540</v>
      </c>
      <c r="H16" s="122" t="s">
        <v>544</v>
      </c>
      <c r="I16" s="122" t="s">
        <v>545</v>
      </c>
      <c r="J16" s="405"/>
      <c r="K16" s="406"/>
      <c r="L16" s="405"/>
      <c r="M16" s="405"/>
      <c r="N16" s="405"/>
      <c r="O16" s="405"/>
    </row>
    <row r="17" spans="2:15" x14ac:dyDescent="0.2">
      <c r="F17" s="405"/>
      <c r="G17" s="402">
        <v>13940</v>
      </c>
      <c r="H17" s="403">
        <v>40</v>
      </c>
      <c r="I17" s="401">
        <f t="shared" ref="I17:I22" si="5">G17*H17</f>
        <v>557600</v>
      </c>
      <c r="J17" s="405"/>
      <c r="K17" s="406"/>
      <c r="L17" s="405"/>
      <c r="M17" s="405"/>
      <c r="N17" s="405"/>
      <c r="O17" s="405"/>
    </row>
    <row r="18" spans="2:15" x14ac:dyDescent="0.2">
      <c r="G18" s="402">
        <v>0</v>
      </c>
      <c r="H18" s="403">
        <f>$H$17</f>
        <v>40</v>
      </c>
      <c r="I18" s="401">
        <f t="shared" si="5"/>
        <v>0</v>
      </c>
    </row>
    <row r="19" spans="2:15" x14ac:dyDescent="0.2">
      <c r="G19" s="402">
        <v>16537</v>
      </c>
      <c r="H19" s="403">
        <f>$H$17</f>
        <v>40</v>
      </c>
      <c r="I19" s="401">
        <f t="shared" si="5"/>
        <v>661480</v>
      </c>
    </row>
    <row r="20" spans="2:15" x14ac:dyDescent="0.2">
      <c r="G20" s="402">
        <v>15250</v>
      </c>
      <c r="H20" s="403">
        <f>$H$17</f>
        <v>40</v>
      </c>
      <c r="I20" s="401">
        <f t="shared" si="5"/>
        <v>610000</v>
      </c>
    </row>
    <row r="21" spans="2:15" x14ac:dyDescent="0.2">
      <c r="G21" s="402">
        <v>15400</v>
      </c>
      <c r="H21" s="403">
        <f>$H$17</f>
        <v>40</v>
      </c>
      <c r="I21" s="401">
        <f t="shared" si="5"/>
        <v>616000</v>
      </c>
    </row>
    <row r="22" spans="2:15" x14ac:dyDescent="0.2">
      <c r="G22" s="402">
        <v>0</v>
      </c>
      <c r="H22" s="403">
        <f>$H$17</f>
        <v>40</v>
      </c>
      <c r="I22" s="401">
        <f t="shared" si="5"/>
        <v>0</v>
      </c>
    </row>
    <row r="24" spans="2:15" x14ac:dyDescent="0.2">
      <c r="J24" s="116" t="s">
        <v>539</v>
      </c>
    </row>
    <row r="25" spans="2:15" x14ac:dyDescent="0.2">
      <c r="D25" s="120" t="s">
        <v>2251</v>
      </c>
      <c r="E25" s="122" t="s">
        <v>777</v>
      </c>
      <c r="I25" s="120" t="s">
        <v>1368</v>
      </c>
      <c r="J25" s="439">
        <v>111.27</v>
      </c>
    </row>
    <row r="26" spans="2:15" ht="12" thickBot="1" x14ac:dyDescent="0.25">
      <c r="B26" s="816" t="s">
        <v>2469</v>
      </c>
      <c r="C26" s="793">
        <f t="shared" ref="C26:C32" si="6">D26*E26</f>
        <v>15600</v>
      </c>
      <c r="D26" s="794">
        <v>120</v>
      </c>
      <c r="E26" s="796">
        <v>130</v>
      </c>
      <c r="F26" s="120" t="s">
        <v>2475</v>
      </c>
      <c r="G26" s="120">
        <v>48</v>
      </c>
      <c r="I26" s="120" t="s">
        <v>1369</v>
      </c>
      <c r="J26" s="440">
        <v>1.34</v>
      </c>
      <c r="L26" s="120">
        <v>220</v>
      </c>
    </row>
    <row r="27" spans="2:15" ht="12" thickBot="1" x14ac:dyDescent="0.25">
      <c r="B27" s="120" t="s">
        <v>2470</v>
      </c>
      <c r="C27" s="793">
        <f t="shared" si="6"/>
        <v>20280</v>
      </c>
      <c r="D27" s="794">
        <v>338</v>
      </c>
      <c r="E27" s="796">
        <v>60</v>
      </c>
      <c r="F27" s="120" t="s">
        <v>2476</v>
      </c>
      <c r="G27" s="120">
        <v>24</v>
      </c>
      <c r="J27" s="441">
        <f>J25*0.3+J26</f>
        <v>34.721000000000004</v>
      </c>
      <c r="L27" s="120">
        <v>550</v>
      </c>
      <c r="M27" s="120" t="s">
        <v>2477</v>
      </c>
    </row>
    <row r="28" spans="2:15" x14ac:dyDescent="0.2">
      <c r="B28" s="816" t="s">
        <v>2471</v>
      </c>
      <c r="C28" s="793">
        <f t="shared" si="6"/>
        <v>110000</v>
      </c>
      <c r="D28" s="794">
        <v>1375</v>
      </c>
      <c r="E28" s="797">
        <v>80</v>
      </c>
    </row>
    <row r="29" spans="2:15" x14ac:dyDescent="0.2">
      <c r="B29" s="816" t="s">
        <v>2472</v>
      </c>
      <c r="C29" s="793">
        <f t="shared" si="6"/>
        <v>3600</v>
      </c>
      <c r="D29" s="794">
        <v>12</v>
      </c>
      <c r="E29" s="798">
        <v>300</v>
      </c>
      <c r="J29" s="116" t="s">
        <v>538</v>
      </c>
    </row>
    <row r="30" spans="2:15" ht="12" thickBot="1" x14ac:dyDescent="0.25">
      <c r="B30" s="816" t="s">
        <v>2473</v>
      </c>
      <c r="C30" s="793">
        <f t="shared" si="6"/>
        <v>7500</v>
      </c>
      <c r="D30" s="794">
        <v>500</v>
      </c>
      <c r="E30" s="795">
        <v>15</v>
      </c>
      <c r="F30" s="120" t="s">
        <v>2474</v>
      </c>
      <c r="I30" s="120" t="s">
        <v>1370</v>
      </c>
      <c r="J30" s="439">
        <v>131.34</v>
      </c>
    </row>
    <row r="31" spans="2:15" ht="12" thickBot="1" x14ac:dyDescent="0.25">
      <c r="B31" s="816" t="s">
        <v>2473</v>
      </c>
      <c r="C31" s="793">
        <f t="shared" si="6"/>
        <v>11250</v>
      </c>
      <c r="D31" s="794">
        <v>750</v>
      </c>
      <c r="E31" s="795">
        <v>15</v>
      </c>
      <c r="F31" s="120" t="s">
        <v>2504</v>
      </c>
      <c r="J31" s="441">
        <f>J30*0.3</f>
        <v>39.402000000000001</v>
      </c>
    </row>
    <row r="32" spans="2:15" x14ac:dyDescent="0.2">
      <c r="B32" s="120" t="s">
        <v>797</v>
      </c>
      <c r="C32" s="793">
        <f t="shared" si="6"/>
        <v>5000</v>
      </c>
      <c r="D32" s="794">
        <v>100</v>
      </c>
      <c r="E32" s="795">
        <v>50</v>
      </c>
    </row>
    <row r="33" spans="2:12" x14ac:dyDescent="0.2">
      <c r="B33" s="816" t="s">
        <v>2503</v>
      </c>
      <c r="C33" s="793">
        <f>D33*E33</f>
        <v>4000</v>
      </c>
      <c r="D33" s="794">
        <v>800</v>
      </c>
      <c r="E33" s="798">
        <v>5</v>
      </c>
    </row>
    <row r="34" spans="2:12" x14ac:dyDescent="0.2">
      <c r="C34" s="799"/>
    </row>
    <row r="35" spans="2:12" x14ac:dyDescent="0.2">
      <c r="B35" s="816" t="s">
        <v>2482</v>
      </c>
      <c r="C35" s="116">
        <v>500</v>
      </c>
      <c r="E35" s="817">
        <v>3</v>
      </c>
    </row>
    <row r="36" spans="2:12" x14ac:dyDescent="0.2">
      <c r="B36" s="816" t="s">
        <v>2483</v>
      </c>
      <c r="C36" s="116">
        <v>600</v>
      </c>
      <c r="E36" s="817">
        <v>3</v>
      </c>
    </row>
    <row r="37" spans="2:12" x14ac:dyDescent="0.2">
      <c r="C37" s="799">
        <f>SUM(C26:C36)</f>
        <v>178330</v>
      </c>
    </row>
    <row r="38" spans="2:12" ht="12" thickBot="1" x14ac:dyDescent="0.25"/>
    <row r="39" spans="2:12" x14ac:dyDescent="0.2">
      <c r="E39" s="897" t="s">
        <v>2817</v>
      </c>
      <c r="F39" s="147" t="s">
        <v>1024</v>
      </c>
      <c r="G39" s="147" t="s">
        <v>2819</v>
      </c>
      <c r="H39" s="147" t="s">
        <v>2820</v>
      </c>
      <c r="I39" s="148" t="s">
        <v>2044</v>
      </c>
      <c r="J39" s="147" t="s">
        <v>2818</v>
      </c>
      <c r="K39" s="184" t="s">
        <v>1413</v>
      </c>
      <c r="L39" s="122"/>
    </row>
    <row r="40" spans="2:12" x14ac:dyDescent="0.2">
      <c r="E40" s="898">
        <v>2</v>
      </c>
      <c r="F40" s="149">
        <v>1.5</v>
      </c>
      <c r="G40" s="149">
        <v>1</v>
      </c>
      <c r="H40" s="149">
        <f>G40*0.75</f>
        <v>0.75</v>
      </c>
      <c r="I40" s="150">
        <v>640</v>
      </c>
      <c r="J40" s="899">
        <f>I40*0.75</f>
        <v>480</v>
      </c>
      <c r="K40" s="900">
        <f>G40*J40</f>
        <v>480</v>
      </c>
      <c r="L40" s="122"/>
    </row>
    <row r="41" spans="2:12" x14ac:dyDescent="0.2">
      <c r="E41" s="898">
        <v>4</v>
      </c>
      <c r="F41" s="149">
        <v>1</v>
      </c>
      <c r="G41" s="149">
        <v>1</v>
      </c>
      <c r="H41" s="149">
        <f>G41*0.75</f>
        <v>0.75</v>
      </c>
      <c r="I41" s="150">
        <v>1282</v>
      </c>
      <c r="J41" s="899">
        <f>I41*0.75</f>
        <v>961.5</v>
      </c>
      <c r="K41" s="900">
        <f>G41*J41</f>
        <v>961.5</v>
      </c>
      <c r="L41" s="122"/>
    </row>
    <row r="42" spans="2:12" x14ac:dyDescent="0.2">
      <c r="E42" s="898">
        <v>5</v>
      </c>
      <c r="F42" s="149">
        <v>14.7</v>
      </c>
      <c r="G42" s="149">
        <v>8</v>
      </c>
      <c r="H42" s="149">
        <f>G42*0.75</f>
        <v>6</v>
      </c>
      <c r="I42" s="150">
        <v>1603</v>
      </c>
      <c r="J42" s="899">
        <f>I42*0.75</f>
        <v>1202.25</v>
      </c>
      <c r="K42" s="900">
        <f>G42*J42</f>
        <v>9618</v>
      </c>
      <c r="L42" s="122"/>
    </row>
    <row r="43" spans="2:12" x14ac:dyDescent="0.2">
      <c r="E43" s="898">
        <v>6</v>
      </c>
      <c r="F43" s="149">
        <v>3.6</v>
      </c>
      <c r="G43" s="149">
        <v>2</v>
      </c>
      <c r="H43" s="149">
        <f>G43*0.75</f>
        <v>1.5</v>
      </c>
      <c r="I43" s="150">
        <v>1923</v>
      </c>
      <c r="J43" s="899">
        <f>I43*0.75</f>
        <v>1442.25</v>
      </c>
      <c r="K43" s="900">
        <f>G43*J43</f>
        <v>2884.5</v>
      </c>
      <c r="L43" s="122"/>
    </row>
    <row r="44" spans="2:12" x14ac:dyDescent="0.2">
      <c r="E44" s="898">
        <v>8</v>
      </c>
      <c r="F44" s="149">
        <v>4.3</v>
      </c>
      <c r="G44" s="149">
        <v>2</v>
      </c>
      <c r="H44" s="149">
        <f>G44*0.75</f>
        <v>1.5</v>
      </c>
      <c r="I44" s="150">
        <v>2564</v>
      </c>
      <c r="J44" s="899">
        <f>I44*0.75</f>
        <v>1923</v>
      </c>
      <c r="K44" s="900">
        <f>G44*J44</f>
        <v>3846</v>
      </c>
      <c r="L44" s="122"/>
    </row>
    <row r="45" spans="2:12" ht="12" thickBot="1" x14ac:dyDescent="0.25">
      <c r="E45" s="901"/>
      <c r="F45" s="160"/>
      <c r="G45" s="160"/>
      <c r="H45" s="904">
        <f>SUM(H40:H44)</f>
        <v>10.5</v>
      </c>
      <c r="I45" s="902"/>
      <c r="J45" s="160"/>
      <c r="K45" s="903">
        <f>SUM(K40:K44)</f>
        <v>17790</v>
      </c>
      <c r="L45" s="122"/>
    </row>
    <row r="46" spans="2:12" ht="12" thickBot="1" x14ac:dyDescent="0.25"/>
    <row r="47" spans="2:12" x14ac:dyDescent="0.2">
      <c r="D47" s="120" t="s">
        <v>2937</v>
      </c>
      <c r="E47" s="897" t="s">
        <v>2817</v>
      </c>
      <c r="F47" s="147" t="s">
        <v>2819</v>
      </c>
      <c r="G47" s="147" t="s">
        <v>611</v>
      </c>
      <c r="H47" s="148" t="s">
        <v>2044</v>
      </c>
      <c r="I47" s="147" t="s">
        <v>1413</v>
      </c>
      <c r="J47" s="184" t="s">
        <v>623</v>
      </c>
      <c r="K47" s="120"/>
    </row>
    <row r="48" spans="2:12" x14ac:dyDescent="0.2">
      <c r="E48" s="898">
        <v>2</v>
      </c>
      <c r="F48" s="149">
        <v>16</v>
      </c>
      <c r="G48" s="149">
        <f>F48/2</f>
        <v>8</v>
      </c>
      <c r="H48" s="150">
        <f>$D$53*E48</f>
        <v>200</v>
      </c>
      <c r="I48" s="899">
        <f>G48*H48</f>
        <v>1600</v>
      </c>
      <c r="J48" s="923">
        <f>G48*E48/100</f>
        <v>0.16</v>
      </c>
      <c r="K48" s="120"/>
    </row>
    <row r="49" spans="4:11" x14ac:dyDescent="0.2">
      <c r="E49" s="898">
        <v>4</v>
      </c>
      <c r="F49" s="149">
        <v>17</v>
      </c>
      <c r="G49" s="149">
        <f>F49/2</f>
        <v>8.5</v>
      </c>
      <c r="H49" s="150">
        <f>$D$53*E49</f>
        <v>400</v>
      </c>
      <c r="I49" s="899">
        <f>G49*H49</f>
        <v>3400</v>
      </c>
      <c r="J49" s="923">
        <f>G49*E49/100</f>
        <v>0.34</v>
      </c>
      <c r="K49" s="120"/>
    </row>
    <row r="50" spans="4:11" x14ac:dyDescent="0.2">
      <c r="E50" s="898">
        <v>5</v>
      </c>
      <c r="F50" s="149">
        <v>4</v>
      </c>
      <c r="G50" s="149">
        <f>F50/2</f>
        <v>2</v>
      </c>
      <c r="H50" s="150">
        <f>$D$53*E50</f>
        <v>500</v>
      </c>
      <c r="I50" s="899">
        <f>G50*H50</f>
        <v>1000</v>
      </c>
      <c r="J50" s="923">
        <f>G50*E50/100</f>
        <v>0.1</v>
      </c>
      <c r="K50" s="120"/>
    </row>
    <row r="51" spans="4:11" ht="12" thickBot="1" x14ac:dyDescent="0.25">
      <c r="E51" s="898">
        <v>6</v>
      </c>
      <c r="F51" s="149">
        <v>12</v>
      </c>
      <c r="G51" s="149">
        <f>F51/2</f>
        <v>6</v>
      </c>
      <c r="H51" s="150">
        <f>$D$53*E51</f>
        <v>600</v>
      </c>
      <c r="I51" s="899">
        <f>G51*H51</f>
        <v>3600</v>
      </c>
      <c r="J51" s="923">
        <f>G51*E51/100</f>
        <v>0.36</v>
      </c>
      <c r="K51" s="120"/>
    </row>
    <row r="52" spans="4:11" ht="12" thickBot="1" x14ac:dyDescent="0.25">
      <c r="D52" s="921" t="s">
        <v>2938</v>
      </c>
      <c r="E52" s="902"/>
      <c r="F52" s="160"/>
      <c r="G52" s="904">
        <f>SUM(G48:G51)</f>
        <v>24.5</v>
      </c>
      <c r="H52" s="902"/>
      <c r="I52" s="904">
        <f>SUM(I48:I51)</f>
        <v>9600</v>
      </c>
      <c r="J52" s="904">
        <f>SUM(J48:J51)</f>
        <v>0.96</v>
      </c>
      <c r="K52" s="120"/>
    </row>
    <row r="53" spans="4:11" ht="12" thickBot="1" x14ac:dyDescent="0.25">
      <c r="D53" s="922">
        <v>100</v>
      </c>
    </row>
  </sheetData>
  <phoneticPr fontId="28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Munka38">
    <pageSetUpPr fitToPage="1"/>
  </sheetPr>
  <dimension ref="B1:K17"/>
  <sheetViews>
    <sheetView workbookViewId="0">
      <selection activeCell="F20" sqref="F20"/>
    </sheetView>
  </sheetViews>
  <sheetFormatPr defaultRowHeight="12.75" x14ac:dyDescent="0.2"/>
  <cols>
    <col min="2" max="2" width="28.42578125" bestFit="1" customWidth="1"/>
    <col min="3" max="3" width="11.42578125" bestFit="1" customWidth="1"/>
    <col min="4" max="4" width="11.5703125" bestFit="1" customWidth="1"/>
    <col min="5" max="5" width="15.7109375" bestFit="1" customWidth="1"/>
    <col min="6" max="6" width="18.28515625" bestFit="1" customWidth="1"/>
    <col min="7" max="7" width="21" bestFit="1" customWidth="1"/>
    <col min="8" max="8" width="13.140625" customWidth="1"/>
    <col min="9" max="9" width="15.28515625" customWidth="1"/>
    <col min="10" max="10" width="13.42578125" customWidth="1"/>
  </cols>
  <sheetData>
    <row r="1" spans="2:11" ht="13.5" thickBot="1" x14ac:dyDescent="0.25"/>
    <row r="2" spans="2:11" s="691" customFormat="1" x14ac:dyDescent="0.2">
      <c r="B2" s="645" t="s">
        <v>2279</v>
      </c>
      <c r="C2" s="742" t="s">
        <v>2280</v>
      </c>
      <c r="D2" s="742" t="s">
        <v>2281</v>
      </c>
      <c r="E2" s="742" t="s">
        <v>2282</v>
      </c>
      <c r="F2" s="742" t="s">
        <v>2283</v>
      </c>
      <c r="G2" s="742" t="s">
        <v>2284</v>
      </c>
      <c r="H2" s="742" t="s">
        <v>2285</v>
      </c>
      <c r="I2" s="742"/>
      <c r="J2" s="743"/>
    </row>
    <row r="3" spans="2:11" x14ac:dyDescent="0.2">
      <c r="B3" s="55" t="s">
        <v>2286</v>
      </c>
      <c r="C3" s="737">
        <v>45.7</v>
      </c>
      <c r="D3" s="744">
        <v>42.8</v>
      </c>
      <c r="E3" s="737">
        <f>D3*2.5</f>
        <v>107</v>
      </c>
      <c r="F3" s="737">
        <v>22.63</v>
      </c>
      <c r="G3" s="737">
        <v>11.75</v>
      </c>
      <c r="H3" s="737">
        <f>E3-F3-G3</f>
        <v>72.62</v>
      </c>
      <c r="I3" s="47" t="s">
        <v>2317</v>
      </c>
      <c r="J3" s="56" t="s">
        <v>2331</v>
      </c>
      <c r="K3" t="s">
        <v>2329</v>
      </c>
    </row>
    <row r="4" spans="2:11" x14ac:dyDescent="0.2">
      <c r="B4" s="55" t="s">
        <v>2287</v>
      </c>
      <c r="C4" s="737">
        <v>8.86</v>
      </c>
      <c r="D4" s="744">
        <v>13.3</v>
      </c>
      <c r="E4" s="737">
        <f>D4*2.5</f>
        <v>33.25</v>
      </c>
      <c r="F4" s="737">
        <v>1.89</v>
      </c>
      <c r="G4" s="737">
        <v>3.72</v>
      </c>
      <c r="H4" s="737">
        <f>E4-F4-G4</f>
        <v>27.64</v>
      </c>
      <c r="I4" s="47"/>
      <c r="J4" s="56"/>
    </row>
    <row r="5" spans="2:11" x14ac:dyDescent="0.2">
      <c r="B5" s="55" t="s">
        <v>2288</v>
      </c>
      <c r="C5" s="737">
        <v>8.23</v>
      </c>
      <c r="D5" s="744">
        <v>12.1</v>
      </c>
      <c r="E5" s="737">
        <f>D5*2.5</f>
        <v>30.25</v>
      </c>
      <c r="F5" s="737">
        <v>1.89</v>
      </c>
      <c r="G5" s="737">
        <v>2.0699999999999998</v>
      </c>
      <c r="H5" s="737">
        <f>E5-F5-G5</f>
        <v>26.29</v>
      </c>
      <c r="I5" s="47"/>
      <c r="J5" s="56"/>
    </row>
    <row r="6" spans="2:11" x14ac:dyDescent="0.2">
      <c r="B6" s="55" t="s">
        <v>2289</v>
      </c>
      <c r="C6" s="737">
        <v>9.66</v>
      </c>
      <c r="D6" s="744">
        <v>12.5</v>
      </c>
      <c r="E6" s="737">
        <f>D6*2.5</f>
        <v>31.25</v>
      </c>
      <c r="F6" s="737">
        <v>1.89</v>
      </c>
      <c r="G6" s="737">
        <v>2.0699999999999998</v>
      </c>
      <c r="H6" s="737">
        <f>E6-F6-G6</f>
        <v>27.29</v>
      </c>
      <c r="I6" s="47"/>
      <c r="J6" s="56"/>
    </row>
    <row r="7" spans="2:11" ht="13.5" thickBot="1" x14ac:dyDescent="0.25">
      <c r="B7" s="326" t="s">
        <v>2290</v>
      </c>
      <c r="C7" s="745">
        <v>10.47</v>
      </c>
      <c r="D7" s="746">
        <v>14.9</v>
      </c>
      <c r="E7" s="745">
        <f>D7*2.5</f>
        <v>37.25</v>
      </c>
      <c r="F7" s="745">
        <v>1.89</v>
      </c>
      <c r="G7" s="745">
        <v>3.72</v>
      </c>
      <c r="H7" s="745">
        <f>E7-F7-G7</f>
        <v>31.64</v>
      </c>
      <c r="I7" s="65" t="s">
        <v>2318</v>
      </c>
      <c r="J7" s="747" t="s">
        <v>2330</v>
      </c>
    </row>
    <row r="10" spans="2:11" ht="13.5" thickBot="1" x14ac:dyDescent="0.25"/>
    <row r="11" spans="2:11" x14ac:dyDescent="0.2">
      <c r="B11" s="645" t="s">
        <v>2315</v>
      </c>
      <c r="C11" s="64"/>
      <c r="D11" s="64" t="s">
        <v>2251</v>
      </c>
      <c r="E11" s="323" t="s">
        <v>1413</v>
      </c>
    </row>
    <row r="12" spans="2:11" x14ac:dyDescent="0.2">
      <c r="B12" s="55" t="s">
        <v>1524</v>
      </c>
      <c r="C12" s="737">
        <v>244</v>
      </c>
      <c r="D12" s="616">
        <v>800</v>
      </c>
      <c r="E12" s="738">
        <f>C12*D12</f>
        <v>195200</v>
      </c>
    </row>
    <row r="13" spans="2:11" x14ac:dyDescent="0.2">
      <c r="B13" s="55" t="s">
        <v>2291</v>
      </c>
      <c r="C13" s="737">
        <v>100</v>
      </c>
      <c r="D13" s="616">
        <v>800</v>
      </c>
      <c r="E13" s="738">
        <f>C13*D13</f>
        <v>80000</v>
      </c>
    </row>
    <row r="14" spans="2:11" x14ac:dyDescent="0.2">
      <c r="B14" s="55"/>
      <c r="C14" s="739">
        <f>SUM(C12:C13)</f>
        <v>344</v>
      </c>
      <c r="D14" s="616">
        <v>800</v>
      </c>
      <c r="E14" s="740">
        <f>C14*D14</f>
        <v>275200</v>
      </c>
    </row>
    <row r="15" spans="2:11" x14ac:dyDescent="0.2">
      <c r="B15" s="55" t="s">
        <v>2344</v>
      </c>
      <c r="C15" s="47"/>
      <c r="D15" s="616"/>
      <c r="E15" s="740">
        <v>35000</v>
      </c>
    </row>
    <row r="16" spans="2:11" ht="13.5" thickBot="1" x14ac:dyDescent="0.25">
      <c r="B16" s="55" t="s">
        <v>2292</v>
      </c>
      <c r="C16" s="741">
        <v>152</v>
      </c>
      <c r="D16" s="616">
        <v>145</v>
      </c>
      <c r="E16" s="740">
        <f>C16*D16</f>
        <v>22040</v>
      </c>
    </row>
    <row r="17" spans="2:5" ht="13.5" thickBot="1" x14ac:dyDescent="0.25">
      <c r="B17" s="326"/>
      <c r="C17" s="65"/>
      <c r="D17" s="65"/>
      <c r="E17" s="693">
        <f>SUM(E14:E16)</f>
        <v>332240</v>
      </c>
    </row>
  </sheetData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Munka39"/>
  <dimension ref="A1:E17"/>
  <sheetViews>
    <sheetView workbookViewId="0">
      <selection activeCell="F8" sqref="F8"/>
    </sheetView>
  </sheetViews>
  <sheetFormatPr defaultRowHeight="12.75" x14ac:dyDescent="0.2"/>
  <cols>
    <col min="1" max="1" width="11.85546875" customWidth="1"/>
    <col min="2" max="2" width="25.7109375" customWidth="1"/>
    <col min="3" max="3" width="21" customWidth="1"/>
    <col min="4" max="4" width="10.5703125" customWidth="1"/>
  </cols>
  <sheetData>
    <row r="1" spans="1:5" x14ac:dyDescent="0.2">
      <c r="C1" t="s">
        <v>642</v>
      </c>
      <c r="D1" t="s">
        <v>2270</v>
      </c>
    </row>
    <row r="2" spans="1:5" x14ac:dyDescent="0.2">
      <c r="B2" t="s">
        <v>2261</v>
      </c>
      <c r="C2">
        <v>1</v>
      </c>
      <c r="D2">
        <v>16698</v>
      </c>
      <c r="E2">
        <f t="shared" ref="E2:E7" si="0">C2*D2</f>
        <v>16698</v>
      </c>
    </row>
    <row r="3" spans="1:5" x14ac:dyDescent="0.2">
      <c r="B3" t="s">
        <v>2262</v>
      </c>
      <c r="C3">
        <v>1</v>
      </c>
      <c r="D3">
        <v>3877</v>
      </c>
      <c r="E3">
        <f t="shared" si="0"/>
        <v>3877</v>
      </c>
    </row>
    <row r="4" spans="1:5" x14ac:dyDescent="0.2">
      <c r="B4" t="s">
        <v>2263</v>
      </c>
      <c r="C4">
        <v>1</v>
      </c>
      <c r="D4">
        <v>6119</v>
      </c>
      <c r="E4">
        <f t="shared" si="0"/>
        <v>6119</v>
      </c>
    </row>
    <row r="5" spans="1:5" x14ac:dyDescent="0.2">
      <c r="B5" t="s">
        <v>2264</v>
      </c>
      <c r="C5">
        <v>1</v>
      </c>
      <c r="D5">
        <v>23000</v>
      </c>
      <c r="E5">
        <f t="shared" si="0"/>
        <v>23000</v>
      </c>
    </row>
    <row r="6" spans="1:5" x14ac:dyDescent="0.2">
      <c r="B6" t="s">
        <v>2265</v>
      </c>
      <c r="C6">
        <v>1</v>
      </c>
      <c r="D6">
        <v>26000</v>
      </c>
      <c r="E6">
        <f t="shared" si="0"/>
        <v>26000</v>
      </c>
    </row>
    <row r="7" spans="1:5" x14ac:dyDescent="0.2">
      <c r="A7" t="s">
        <v>2269</v>
      </c>
      <c r="B7" s="690" t="s">
        <v>2266</v>
      </c>
      <c r="C7" s="690">
        <v>1</v>
      </c>
      <c r="D7">
        <v>19750</v>
      </c>
      <c r="E7">
        <f t="shared" si="0"/>
        <v>19750</v>
      </c>
    </row>
    <row r="8" spans="1:5" x14ac:dyDescent="0.2">
      <c r="A8" t="s">
        <v>2268</v>
      </c>
      <c r="B8" t="s">
        <v>2267</v>
      </c>
      <c r="C8">
        <v>1</v>
      </c>
      <c r="D8">
        <v>11500</v>
      </c>
      <c r="E8">
        <f t="shared" ref="E8:E16" si="1">C8*D8</f>
        <v>11500</v>
      </c>
    </row>
    <row r="9" spans="1:5" x14ac:dyDescent="0.2">
      <c r="B9" t="s">
        <v>2278</v>
      </c>
      <c r="C9">
        <v>1</v>
      </c>
      <c r="D9">
        <v>15000</v>
      </c>
      <c r="E9">
        <f t="shared" si="1"/>
        <v>15000</v>
      </c>
    </row>
    <row r="10" spans="1:5" x14ac:dyDescent="0.2">
      <c r="B10" t="s">
        <v>2274</v>
      </c>
      <c r="C10">
        <v>1</v>
      </c>
      <c r="D10">
        <v>15200</v>
      </c>
      <c r="E10">
        <f t="shared" si="1"/>
        <v>15200</v>
      </c>
    </row>
    <row r="11" spans="1:5" x14ac:dyDescent="0.2">
      <c r="B11" t="s">
        <v>2271</v>
      </c>
      <c r="C11">
        <v>1</v>
      </c>
      <c r="D11">
        <v>18800</v>
      </c>
      <c r="E11">
        <f t="shared" si="1"/>
        <v>18800</v>
      </c>
    </row>
    <row r="12" spans="1:5" x14ac:dyDescent="0.2">
      <c r="B12" t="s">
        <v>2272</v>
      </c>
      <c r="C12">
        <v>30</v>
      </c>
      <c r="D12">
        <v>1500</v>
      </c>
      <c r="E12">
        <f t="shared" si="1"/>
        <v>45000</v>
      </c>
    </row>
    <row r="13" spans="1:5" x14ac:dyDescent="0.2">
      <c r="B13" t="s">
        <v>2273</v>
      </c>
      <c r="C13">
        <v>60</v>
      </c>
      <c r="D13">
        <v>150</v>
      </c>
      <c r="E13">
        <f t="shared" si="1"/>
        <v>9000</v>
      </c>
    </row>
    <row r="14" spans="1:5" x14ac:dyDescent="0.2">
      <c r="B14" t="s">
        <v>2276</v>
      </c>
      <c r="C14">
        <v>30</v>
      </c>
      <c r="D14">
        <v>184</v>
      </c>
      <c r="E14">
        <f t="shared" si="1"/>
        <v>5520</v>
      </c>
    </row>
    <row r="15" spans="1:5" x14ac:dyDescent="0.2">
      <c r="B15" t="s">
        <v>2275</v>
      </c>
      <c r="C15">
        <v>20</v>
      </c>
      <c r="D15">
        <v>310</v>
      </c>
      <c r="E15">
        <f t="shared" si="1"/>
        <v>6200</v>
      </c>
    </row>
    <row r="16" spans="1:5" x14ac:dyDescent="0.2">
      <c r="B16" t="s">
        <v>2277</v>
      </c>
      <c r="C16">
        <v>15</v>
      </c>
      <c r="D16">
        <v>1000</v>
      </c>
      <c r="E16">
        <f t="shared" si="1"/>
        <v>15000</v>
      </c>
    </row>
    <row r="17" spans="5:5" x14ac:dyDescent="0.2">
      <c r="E17">
        <f>SUM(E2:E16)</f>
        <v>236664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Munka11">
    <pageSetUpPr fitToPage="1"/>
  </sheetPr>
  <dimension ref="B1:W48"/>
  <sheetViews>
    <sheetView workbookViewId="0">
      <selection activeCell="G44" sqref="G44"/>
    </sheetView>
  </sheetViews>
  <sheetFormatPr defaultRowHeight="12.75" x14ac:dyDescent="0.2"/>
  <cols>
    <col min="1" max="1" width="3.42578125" customWidth="1"/>
    <col min="2" max="2" width="16.140625" bestFit="1" customWidth="1"/>
    <col min="3" max="3" width="16.42578125" customWidth="1"/>
    <col min="4" max="4" width="13.140625" bestFit="1" customWidth="1"/>
    <col min="5" max="5" width="8.85546875" customWidth="1"/>
    <col min="6" max="6" width="8.140625" customWidth="1"/>
    <col min="7" max="8" width="7.7109375" customWidth="1"/>
    <col min="9" max="9" width="9" customWidth="1"/>
    <col min="10" max="10" width="7.85546875" bestFit="1" customWidth="1"/>
    <col min="11" max="11" width="7.85546875" customWidth="1"/>
    <col min="12" max="12" width="12" customWidth="1"/>
    <col min="13" max="13" width="6.28515625" customWidth="1"/>
    <col min="14" max="14" width="10.5703125" customWidth="1"/>
    <col min="15" max="15" width="9.85546875" bestFit="1" customWidth="1"/>
    <col min="16" max="16" width="10.85546875" customWidth="1"/>
    <col min="17" max="17" width="11.28515625" customWidth="1"/>
    <col min="18" max="18" width="13.140625" bestFit="1" customWidth="1"/>
    <col min="19" max="19" width="19.140625" customWidth="1"/>
    <col min="20" max="20" width="19.5703125" customWidth="1"/>
    <col min="22" max="22" width="20.140625" bestFit="1" customWidth="1"/>
  </cols>
  <sheetData>
    <row r="1" spans="2:17" ht="13.5" thickBot="1" x14ac:dyDescent="0.25">
      <c r="P1" s="104"/>
    </row>
    <row r="2" spans="2:17" x14ac:dyDescent="0.2">
      <c r="B2" s="1131" t="s">
        <v>2408</v>
      </c>
      <c r="C2" s="1126"/>
      <c r="D2" s="1127"/>
      <c r="E2" t="s">
        <v>821</v>
      </c>
      <c r="G2" s="1131" t="s">
        <v>2379</v>
      </c>
      <c r="H2" s="1126"/>
      <c r="I2" s="1127"/>
      <c r="J2" t="s">
        <v>821</v>
      </c>
      <c r="K2" t="s">
        <v>2208</v>
      </c>
      <c r="L2" s="1125" t="s">
        <v>2210</v>
      </c>
      <c r="M2" s="1126"/>
      <c r="N2" s="1127"/>
      <c r="O2" t="s">
        <v>821</v>
      </c>
    </row>
    <row r="3" spans="2:17" x14ac:dyDescent="0.2">
      <c r="B3" s="55" t="s">
        <v>802</v>
      </c>
      <c r="C3" s="47" t="s">
        <v>803</v>
      </c>
      <c r="D3" s="56" t="s">
        <v>807</v>
      </c>
      <c r="E3" s="63">
        <v>1</v>
      </c>
      <c r="G3" s="55" t="s">
        <v>802</v>
      </c>
      <c r="H3" s="47" t="s">
        <v>803</v>
      </c>
      <c r="I3" s="56" t="s">
        <v>807</v>
      </c>
      <c r="J3" s="63">
        <v>2</v>
      </c>
      <c r="L3" s="55" t="s">
        <v>802</v>
      </c>
      <c r="M3" s="47" t="s">
        <v>803</v>
      </c>
      <c r="N3" s="56" t="s">
        <v>807</v>
      </c>
      <c r="O3" s="63">
        <v>3</v>
      </c>
    </row>
    <row r="4" spans="2:17" x14ac:dyDescent="0.2">
      <c r="B4" s="468">
        <v>383</v>
      </c>
      <c r="C4" s="502"/>
      <c r="D4" s="59"/>
      <c r="E4" s="28">
        <f>(B4+C4+D4)</f>
        <v>383</v>
      </c>
      <c r="F4" t="s">
        <v>800</v>
      </c>
      <c r="G4" s="468">
        <v>450</v>
      </c>
      <c r="H4" s="502"/>
      <c r="I4" s="59"/>
      <c r="J4" s="28">
        <f>G4+H4+I4</f>
        <v>450</v>
      </c>
      <c r="L4" s="468">
        <v>415</v>
      </c>
      <c r="M4" s="502"/>
      <c r="N4" s="59"/>
      <c r="O4" s="28">
        <f>L4+M4+N4</f>
        <v>415</v>
      </c>
    </row>
    <row r="5" spans="2:17" x14ac:dyDescent="0.2">
      <c r="B5" s="468">
        <v>1572</v>
      </c>
      <c r="C5" s="502"/>
      <c r="D5" s="59"/>
      <c r="E5" s="28">
        <f t="shared" ref="E5:E12" si="0">(B5+C5+D5)</f>
        <v>1572</v>
      </c>
      <c r="F5" t="s">
        <v>801</v>
      </c>
      <c r="G5" s="468">
        <v>1850</v>
      </c>
      <c r="H5" s="502"/>
      <c r="I5" s="59"/>
      <c r="J5" s="28">
        <f>G5+H5+I5</f>
        <v>1850</v>
      </c>
      <c r="L5" s="468">
        <v>2005</v>
      </c>
      <c r="M5" s="502"/>
      <c r="N5" s="59"/>
      <c r="O5" s="28">
        <f>L5+M5+N5</f>
        <v>2005</v>
      </c>
    </row>
    <row r="6" spans="2:17" x14ac:dyDescent="0.2">
      <c r="B6" s="468">
        <v>395</v>
      </c>
      <c r="C6" s="502"/>
      <c r="D6" s="59"/>
      <c r="E6" s="28">
        <f t="shared" si="0"/>
        <v>395</v>
      </c>
      <c r="F6" t="s">
        <v>2380</v>
      </c>
      <c r="G6" s="468">
        <v>395</v>
      </c>
      <c r="H6" s="502"/>
      <c r="I6" s="59"/>
      <c r="J6" s="28">
        <f>G6+H6+I6</f>
        <v>395</v>
      </c>
      <c r="L6" s="468">
        <v>430</v>
      </c>
      <c r="M6" s="502"/>
      <c r="N6" s="59"/>
      <c r="O6" s="28">
        <f>L6+M6+N6</f>
        <v>430</v>
      </c>
    </row>
    <row r="7" spans="2:17" x14ac:dyDescent="0.2">
      <c r="B7" s="468">
        <v>510</v>
      </c>
      <c r="C7" s="502"/>
      <c r="D7" s="59"/>
      <c r="E7" s="28">
        <f t="shared" si="0"/>
        <v>510</v>
      </c>
      <c r="F7" t="s">
        <v>2381</v>
      </c>
      <c r="G7" s="468">
        <v>540</v>
      </c>
      <c r="H7" s="502"/>
      <c r="I7" s="59"/>
      <c r="J7" s="28">
        <f>G7+H7+I7</f>
        <v>540</v>
      </c>
      <c r="L7" s="468">
        <v>555</v>
      </c>
      <c r="M7" s="502"/>
      <c r="N7" s="59"/>
      <c r="O7" s="28">
        <f>L7+M7+N7</f>
        <v>555</v>
      </c>
    </row>
    <row r="8" spans="2:17" x14ac:dyDescent="0.2">
      <c r="B8" s="57"/>
      <c r="C8" s="58"/>
      <c r="D8" s="59"/>
      <c r="E8" s="28">
        <f t="shared" si="0"/>
        <v>0</v>
      </c>
      <c r="G8" s="57"/>
      <c r="H8" s="58"/>
      <c r="I8" s="59"/>
      <c r="J8" s="28"/>
      <c r="L8" s="57"/>
      <c r="M8" s="58"/>
      <c r="N8" s="59"/>
      <c r="O8" s="28"/>
    </row>
    <row r="9" spans="2:17" x14ac:dyDescent="0.2">
      <c r="B9" s="57"/>
      <c r="C9" s="58"/>
      <c r="D9" s="59">
        <v>193</v>
      </c>
      <c r="E9" s="28">
        <f t="shared" si="0"/>
        <v>193</v>
      </c>
      <c r="F9" t="s">
        <v>2404</v>
      </c>
      <c r="G9" s="57"/>
      <c r="H9" s="58"/>
      <c r="I9" s="59">
        <v>213</v>
      </c>
      <c r="J9" s="28">
        <f>G9+H9+I9</f>
        <v>213</v>
      </c>
      <c r="L9" s="57"/>
      <c r="M9" s="58"/>
      <c r="N9" s="59">
        <v>210</v>
      </c>
      <c r="O9" s="28">
        <f>L9+M9+N9</f>
        <v>210</v>
      </c>
    </row>
    <row r="10" spans="2:17" x14ac:dyDescent="0.2">
      <c r="B10" s="57"/>
      <c r="C10" s="58"/>
      <c r="D10" s="59">
        <v>318</v>
      </c>
      <c r="E10" s="28">
        <f t="shared" si="0"/>
        <v>318</v>
      </c>
      <c r="F10" t="s">
        <v>2405</v>
      </c>
      <c r="G10" s="57"/>
      <c r="H10" s="58"/>
      <c r="I10" s="59">
        <v>355</v>
      </c>
      <c r="J10" s="28">
        <f>G10+H10+I10</f>
        <v>355</v>
      </c>
      <c r="L10" s="57"/>
      <c r="M10" s="58"/>
      <c r="N10" s="59">
        <v>345</v>
      </c>
      <c r="O10" s="28">
        <f>L10+M10+N10</f>
        <v>345</v>
      </c>
    </row>
    <row r="11" spans="2:17" x14ac:dyDescent="0.2">
      <c r="B11" s="57"/>
      <c r="C11" s="58"/>
      <c r="D11" s="59">
        <v>473</v>
      </c>
      <c r="E11" s="28">
        <f t="shared" si="0"/>
        <v>473</v>
      </c>
      <c r="F11" t="s">
        <v>2406</v>
      </c>
      <c r="G11" s="57"/>
      <c r="H11" s="58"/>
      <c r="I11" s="59">
        <v>520</v>
      </c>
      <c r="J11" s="28">
        <f>G11+H11+I11</f>
        <v>520</v>
      </c>
      <c r="L11" s="57"/>
      <c r="M11" s="58"/>
      <c r="N11" s="59">
        <v>515</v>
      </c>
      <c r="O11" s="28">
        <f>L11+M11+N11</f>
        <v>515</v>
      </c>
    </row>
    <row r="12" spans="2:17" ht="13.5" thickBot="1" x14ac:dyDescent="0.25">
      <c r="B12" s="60"/>
      <c r="C12" s="61"/>
      <c r="D12" s="62">
        <v>546</v>
      </c>
      <c r="E12" s="28">
        <f t="shared" si="0"/>
        <v>546</v>
      </c>
      <c r="F12" t="s">
        <v>2407</v>
      </c>
      <c r="G12" s="60"/>
      <c r="H12" s="61"/>
      <c r="I12" s="62">
        <v>546</v>
      </c>
      <c r="J12" s="28">
        <f>G12+H12+I12</f>
        <v>546</v>
      </c>
      <c r="L12" s="60"/>
      <c r="M12" s="61"/>
      <c r="N12" s="62">
        <v>595</v>
      </c>
      <c r="O12" s="28">
        <f>L12+M12+N12</f>
        <v>595</v>
      </c>
    </row>
    <row r="13" spans="2:17" x14ac:dyDescent="0.2">
      <c r="B13" s="58"/>
      <c r="C13" s="58"/>
      <c r="D13" s="58"/>
      <c r="E13" s="28">
        <v>793</v>
      </c>
      <c r="F13" t="s">
        <v>2411</v>
      </c>
      <c r="G13" s="58"/>
      <c r="H13" s="58"/>
      <c r="I13" s="58"/>
      <c r="J13" s="28">
        <v>793</v>
      </c>
      <c r="L13" s="58"/>
      <c r="M13" s="58"/>
      <c r="N13" s="58"/>
      <c r="O13" s="28">
        <v>860</v>
      </c>
    </row>
    <row r="14" spans="2:17" ht="13.5" thickBot="1" x14ac:dyDescent="0.25">
      <c r="B14" s="104" t="s">
        <v>2211</v>
      </c>
    </row>
    <row r="15" spans="2:17" s="339" customFormat="1" ht="13.5" thickBot="1" x14ac:dyDescent="0.25">
      <c r="B15" s="759"/>
      <c r="G15" s="1128" t="s">
        <v>813</v>
      </c>
      <c r="H15" s="1129"/>
      <c r="I15" s="1129"/>
      <c r="J15" s="1129"/>
      <c r="K15" s="1129"/>
      <c r="L15" s="1130"/>
    </row>
    <row r="16" spans="2:17" s="339" customFormat="1" x14ac:dyDescent="0.2">
      <c r="B16" s="760"/>
      <c r="C16" s="761" t="s">
        <v>800</v>
      </c>
      <c r="D16" s="761" t="s">
        <v>801</v>
      </c>
      <c r="E16" s="761" t="s">
        <v>804</v>
      </c>
      <c r="F16" s="761" t="s">
        <v>2368</v>
      </c>
      <c r="G16" s="762" t="s">
        <v>808</v>
      </c>
      <c r="H16" s="762" t="s">
        <v>809</v>
      </c>
      <c r="I16" s="762" t="s">
        <v>810</v>
      </c>
      <c r="J16" s="762" t="s">
        <v>811</v>
      </c>
      <c r="K16" s="762" t="s">
        <v>812</v>
      </c>
      <c r="L16" s="762" t="s">
        <v>2209</v>
      </c>
      <c r="M16" s="761" t="s">
        <v>805</v>
      </c>
      <c r="N16" s="761" t="s">
        <v>806</v>
      </c>
      <c r="O16" s="763">
        <v>1</v>
      </c>
      <c r="P16" s="763">
        <v>2</v>
      </c>
      <c r="Q16" s="763">
        <v>3</v>
      </c>
    </row>
    <row r="17" spans="2:23" s="339" customFormat="1" x14ac:dyDescent="0.2">
      <c r="B17" s="764" t="s">
        <v>630</v>
      </c>
      <c r="C17" s="765">
        <v>6</v>
      </c>
      <c r="D17" s="765">
        <v>1</v>
      </c>
      <c r="E17" s="765">
        <v>4</v>
      </c>
      <c r="F17" s="765"/>
      <c r="G17" s="765"/>
      <c r="H17" s="765"/>
      <c r="I17" s="765"/>
      <c r="J17" s="765"/>
      <c r="K17" s="765">
        <v>2</v>
      </c>
      <c r="L17" s="765"/>
      <c r="M17" s="765"/>
      <c r="N17" s="765"/>
      <c r="O17" s="766">
        <f t="shared" ref="O17:O32" si="1">C17*$E$4+D17*$E$5+E17*$E$6+F17*$E$7+G17*$E$8+H17*$E$9+I17*$E$10+J17*$E$11+K17*$E$12++L17*$E$13</f>
        <v>6542</v>
      </c>
      <c r="P17" s="766">
        <f t="shared" ref="P17:P32" si="2">C17*$J$4+D17*$J$5+E17*$J$6+F17*$J$7+G17*$J$8+H17*$J$9+I17*$J$10+J17*$J$11+K17*$J$12+L17*$J$13</f>
        <v>7222</v>
      </c>
      <c r="Q17" s="766">
        <f t="shared" ref="Q17:Q32" si="3">C17*$O$4+D17*$O$5+E17*$O$6+F17*$O$7+G17*$O$8+H17*$O$9+I17*$O$10+J17*$O$11+K17*$O$12+L17*$O$13</f>
        <v>7405</v>
      </c>
      <c r="S17" s="339" t="s">
        <v>2362</v>
      </c>
      <c r="T17" s="339" t="s">
        <v>2365</v>
      </c>
      <c r="U17" s="339">
        <f>4380*10</f>
        <v>43800</v>
      </c>
    </row>
    <row r="18" spans="2:23" s="339" customFormat="1" x14ac:dyDescent="0.2">
      <c r="B18" s="764" t="s">
        <v>631</v>
      </c>
      <c r="C18" s="765">
        <v>12</v>
      </c>
      <c r="D18" s="765"/>
      <c r="E18" s="765">
        <v>1</v>
      </c>
      <c r="F18" s="765"/>
      <c r="G18" s="765"/>
      <c r="H18" s="765">
        <v>2</v>
      </c>
      <c r="I18" s="765">
        <v>1</v>
      </c>
      <c r="J18" s="765"/>
      <c r="K18" s="765">
        <v>1</v>
      </c>
      <c r="L18" s="765"/>
      <c r="M18" s="765"/>
      <c r="N18" s="765"/>
      <c r="O18" s="766">
        <f t="shared" si="1"/>
        <v>6241</v>
      </c>
      <c r="P18" s="766">
        <f t="shared" si="2"/>
        <v>7122</v>
      </c>
      <c r="Q18" s="766">
        <f t="shared" si="3"/>
        <v>6770</v>
      </c>
    </row>
    <row r="19" spans="2:23" s="339" customFormat="1" x14ac:dyDescent="0.2">
      <c r="B19" s="764" t="s">
        <v>633</v>
      </c>
      <c r="C19" s="765">
        <v>1</v>
      </c>
      <c r="D19" s="765"/>
      <c r="E19" s="765">
        <v>1</v>
      </c>
      <c r="F19" s="765"/>
      <c r="G19" s="765"/>
      <c r="H19" s="765"/>
      <c r="I19" s="765"/>
      <c r="J19" s="765"/>
      <c r="K19" s="765"/>
      <c r="L19" s="765"/>
      <c r="M19" s="765"/>
      <c r="N19" s="765"/>
      <c r="O19" s="766">
        <f t="shared" si="1"/>
        <v>778</v>
      </c>
      <c r="P19" s="766">
        <f t="shared" si="2"/>
        <v>845</v>
      </c>
      <c r="Q19" s="766">
        <f t="shared" si="3"/>
        <v>845</v>
      </c>
      <c r="R19" s="339" t="s">
        <v>2347</v>
      </c>
      <c r="S19" s="339" t="s">
        <v>2369</v>
      </c>
      <c r="T19" s="339">
        <v>500</v>
      </c>
      <c r="U19" s="339">
        <v>760</v>
      </c>
    </row>
    <row r="20" spans="2:23" s="339" customFormat="1" x14ac:dyDescent="0.2">
      <c r="B20" s="764" t="s">
        <v>1290</v>
      </c>
      <c r="C20" s="765"/>
      <c r="D20" s="765"/>
      <c r="E20" s="765"/>
      <c r="F20" s="765">
        <v>1</v>
      </c>
      <c r="G20" s="765"/>
      <c r="H20" s="765"/>
      <c r="I20" s="765"/>
      <c r="J20" s="765"/>
      <c r="K20" s="765"/>
      <c r="L20" s="765"/>
      <c r="M20" s="765"/>
      <c r="N20" s="765"/>
      <c r="O20" s="766">
        <f t="shared" si="1"/>
        <v>510</v>
      </c>
      <c r="P20" s="766">
        <f t="shared" si="2"/>
        <v>540</v>
      </c>
      <c r="Q20" s="766">
        <f t="shared" si="3"/>
        <v>555</v>
      </c>
    </row>
    <row r="21" spans="2:23" s="339" customFormat="1" x14ac:dyDescent="0.2">
      <c r="B21" s="764" t="s">
        <v>632</v>
      </c>
      <c r="C21" s="765">
        <v>7</v>
      </c>
      <c r="D21" s="765"/>
      <c r="E21" s="765">
        <v>1</v>
      </c>
      <c r="F21" s="765"/>
      <c r="G21" s="765"/>
      <c r="H21" s="765"/>
      <c r="I21" s="765">
        <v>2</v>
      </c>
      <c r="J21" s="765"/>
      <c r="K21" s="765"/>
      <c r="L21" s="765"/>
      <c r="M21" s="765"/>
      <c r="N21" s="765"/>
      <c r="O21" s="766">
        <f t="shared" si="1"/>
        <v>3712</v>
      </c>
      <c r="P21" s="766">
        <f t="shared" si="2"/>
        <v>4255</v>
      </c>
      <c r="Q21" s="766">
        <f t="shared" si="3"/>
        <v>4025</v>
      </c>
      <c r="R21" s="339" t="s">
        <v>2347</v>
      </c>
      <c r="S21" s="339" t="s">
        <v>2358</v>
      </c>
      <c r="T21" s="339">
        <v>500</v>
      </c>
      <c r="U21" s="339">
        <v>860</v>
      </c>
      <c r="V21" s="339">
        <v>500</v>
      </c>
      <c r="W21" s="339">
        <v>860</v>
      </c>
    </row>
    <row r="22" spans="2:23" s="339" customFormat="1" x14ac:dyDescent="0.2">
      <c r="B22" s="764" t="s">
        <v>641</v>
      </c>
      <c r="C22" s="765">
        <v>6</v>
      </c>
      <c r="D22" s="765"/>
      <c r="E22" s="765">
        <v>1</v>
      </c>
      <c r="F22" s="765"/>
      <c r="G22" s="765"/>
      <c r="H22" s="765">
        <v>2</v>
      </c>
      <c r="I22" s="765">
        <v>1</v>
      </c>
      <c r="J22" s="765"/>
      <c r="K22" s="765"/>
      <c r="L22" s="765"/>
      <c r="M22" s="765"/>
      <c r="N22" s="765"/>
      <c r="O22" s="766">
        <f t="shared" si="1"/>
        <v>3397</v>
      </c>
      <c r="P22" s="766">
        <f t="shared" si="2"/>
        <v>3876</v>
      </c>
      <c r="Q22" s="766">
        <f t="shared" si="3"/>
        <v>3685</v>
      </c>
      <c r="S22" s="339" t="s">
        <v>2358</v>
      </c>
      <c r="U22" s="339">
        <v>860</v>
      </c>
      <c r="V22" s="339">
        <v>860</v>
      </c>
    </row>
    <row r="23" spans="2:23" s="339" customFormat="1" x14ac:dyDescent="0.2">
      <c r="B23" s="764" t="s">
        <v>634</v>
      </c>
      <c r="C23" s="765">
        <v>1</v>
      </c>
      <c r="D23" s="765"/>
      <c r="E23" s="765"/>
      <c r="F23" s="765"/>
      <c r="G23" s="765"/>
      <c r="H23" s="765"/>
      <c r="I23" s="765"/>
      <c r="J23" s="765"/>
      <c r="K23" s="765"/>
      <c r="L23" s="765"/>
      <c r="M23" s="765"/>
      <c r="N23" s="765"/>
      <c r="O23" s="766">
        <f t="shared" si="1"/>
        <v>383</v>
      </c>
      <c r="P23" s="766">
        <f t="shared" si="2"/>
        <v>450</v>
      </c>
      <c r="Q23" s="766">
        <f t="shared" si="3"/>
        <v>415</v>
      </c>
      <c r="R23" s="339" t="s">
        <v>2347</v>
      </c>
      <c r="S23" s="339" t="s">
        <v>2358</v>
      </c>
      <c r="T23" s="339">
        <v>500</v>
      </c>
      <c r="U23" s="339">
        <v>860</v>
      </c>
    </row>
    <row r="24" spans="2:23" s="339" customFormat="1" x14ac:dyDescent="0.2">
      <c r="B24" s="764" t="s">
        <v>778</v>
      </c>
      <c r="C24" s="765">
        <v>5</v>
      </c>
      <c r="D24" s="765"/>
      <c r="E24" s="765">
        <v>1</v>
      </c>
      <c r="F24" s="765"/>
      <c r="G24" s="765"/>
      <c r="H24" s="765">
        <v>1</v>
      </c>
      <c r="I24" s="765">
        <v>1</v>
      </c>
      <c r="J24" s="765"/>
      <c r="K24" s="765"/>
      <c r="L24" s="765"/>
      <c r="M24" s="765"/>
      <c r="N24" s="765"/>
      <c r="O24" s="766">
        <f t="shared" si="1"/>
        <v>2821</v>
      </c>
      <c r="P24" s="766">
        <f t="shared" si="2"/>
        <v>3213</v>
      </c>
      <c r="Q24" s="766">
        <f t="shared" si="3"/>
        <v>3060</v>
      </c>
      <c r="R24" s="339" t="s">
        <v>2347</v>
      </c>
      <c r="S24" s="339" t="s">
        <v>2358</v>
      </c>
      <c r="T24" s="339">
        <v>500</v>
      </c>
      <c r="U24" s="339">
        <v>860</v>
      </c>
    </row>
    <row r="25" spans="2:23" s="339" customFormat="1" x14ac:dyDescent="0.2">
      <c r="B25" s="764" t="s">
        <v>1291</v>
      </c>
      <c r="C25" s="765"/>
      <c r="D25" s="765"/>
      <c r="E25" s="765">
        <v>2</v>
      </c>
      <c r="F25" s="765"/>
      <c r="G25" s="765"/>
      <c r="H25" s="765"/>
      <c r="I25" s="765"/>
      <c r="J25" s="765"/>
      <c r="K25" s="765"/>
      <c r="L25" s="765"/>
      <c r="M25" s="765"/>
      <c r="N25" s="765"/>
      <c r="O25" s="766">
        <f t="shared" si="1"/>
        <v>790</v>
      </c>
      <c r="P25" s="766">
        <f t="shared" si="2"/>
        <v>790</v>
      </c>
      <c r="Q25" s="766">
        <f t="shared" si="3"/>
        <v>860</v>
      </c>
    </row>
    <row r="26" spans="2:23" s="339" customFormat="1" x14ac:dyDescent="0.2">
      <c r="B26" s="764" t="s">
        <v>2366</v>
      </c>
      <c r="C26" s="765">
        <v>3</v>
      </c>
      <c r="D26" s="765"/>
      <c r="E26" s="765"/>
      <c r="F26" s="765"/>
      <c r="G26" s="765"/>
      <c r="H26" s="765">
        <v>1</v>
      </c>
      <c r="I26" s="765"/>
      <c r="J26" s="765"/>
      <c r="K26" s="765"/>
      <c r="L26" s="765"/>
      <c r="M26" s="765"/>
      <c r="N26" s="765"/>
      <c r="O26" s="766">
        <f t="shared" si="1"/>
        <v>1342</v>
      </c>
      <c r="P26" s="766">
        <f t="shared" si="2"/>
        <v>1563</v>
      </c>
      <c r="Q26" s="766">
        <f t="shared" si="3"/>
        <v>1455</v>
      </c>
    </row>
    <row r="27" spans="2:23" s="339" customFormat="1" x14ac:dyDescent="0.2">
      <c r="B27" s="764" t="s">
        <v>639</v>
      </c>
      <c r="C27" s="765">
        <v>2</v>
      </c>
      <c r="D27" s="765"/>
      <c r="E27" s="765"/>
      <c r="F27" s="765"/>
      <c r="G27" s="765"/>
      <c r="H27" s="765"/>
      <c r="I27" s="765"/>
      <c r="J27" s="765"/>
      <c r="K27" s="765"/>
      <c r="L27" s="765"/>
      <c r="M27" s="765"/>
      <c r="N27" s="765"/>
      <c r="O27" s="766">
        <f t="shared" si="1"/>
        <v>766</v>
      </c>
      <c r="P27" s="766">
        <f t="shared" si="2"/>
        <v>900</v>
      </c>
      <c r="Q27" s="766">
        <f t="shared" si="3"/>
        <v>830</v>
      </c>
      <c r="R27" s="339" t="s">
        <v>2347</v>
      </c>
      <c r="S27" s="339" t="s">
        <v>2358</v>
      </c>
      <c r="T27" s="339">
        <v>500</v>
      </c>
      <c r="U27" s="339">
        <v>860</v>
      </c>
    </row>
    <row r="28" spans="2:23" s="339" customFormat="1" x14ac:dyDescent="0.2">
      <c r="B28" s="764" t="s">
        <v>797</v>
      </c>
      <c r="C28" s="765">
        <v>5</v>
      </c>
      <c r="D28" s="765">
        <v>1</v>
      </c>
      <c r="E28" s="765">
        <v>1</v>
      </c>
      <c r="F28" s="765"/>
      <c r="G28" s="765"/>
      <c r="H28" s="765">
        <v>2</v>
      </c>
      <c r="I28" s="765"/>
      <c r="J28" s="765"/>
      <c r="K28" s="765"/>
      <c r="L28" s="765"/>
      <c r="M28" s="765"/>
      <c r="N28" s="765"/>
      <c r="O28" s="766">
        <f t="shared" si="1"/>
        <v>4268</v>
      </c>
      <c r="P28" s="766">
        <f t="shared" si="2"/>
        <v>4921</v>
      </c>
      <c r="Q28" s="766">
        <f t="shared" si="3"/>
        <v>4930</v>
      </c>
      <c r="R28" s="339" t="s">
        <v>2347</v>
      </c>
      <c r="S28" s="339" t="s">
        <v>2358</v>
      </c>
      <c r="T28" s="339">
        <v>500</v>
      </c>
      <c r="U28" s="339">
        <v>860</v>
      </c>
    </row>
    <row r="29" spans="2:23" s="339" customFormat="1" x14ac:dyDescent="0.2">
      <c r="B29" s="764" t="s">
        <v>2346</v>
      </c>
      <c r="C29" s="765">
        <v>6</v>
      </c>
      <c r="D29" s="765">
        <v>1</v>
      </c>
      <c r="E29" s="765">
        <v>1</v>
      </c>
      <c r="F29" s="765"/>
      <c r="G29" s="765"/>
      <c r="H29" s="765">
        <v>3</v>
      </c>
      <c r="I29" s="765"/>
      <c r="J29" s="765"/>
      <c r="K29" s="765"/>
      <c r="L29" s="765"/>
      <c r="M29" s="765"/>
      <c r="N29" s="765"/>
      <c r="O29" s="766">
        <f t="shared" si="1"/>
        <v>4844</v>
      </c>
      <c r="P29" s="766">
        <f t="shared" si="2"/>
        <v>5584</v>
      </c>
      <c r="Q29" s="766">
        <f t="shared" si="3"/>
        <v>5555</v>
      </c>
      <c r="R29" s="339" t="s">
        <v>2347</v>
      </c>
      <c r="S29" s="339" t="s">
        <v>2358</v>
      </c>
      <c r="T29" s="339">
        <v>500</v>
      </c>
      <c r="U29" s="339">
        <v>860</v>
      </c>
      <c r="V29" s="339">
        <v>500</v>
      </c>
      <c r="W29" s="339">
        <v>860</v>
      </c>
    </row>
    <row r="30" spans="2:23" s="339" customFormat="1" x14ac:dyDescent="0.2">
      <c r="B30" s="764" t="s">
        <v>2345</v>
      </c>
      <c r="C30" s="765">
        <v>5</v>
      </c>
      <c r="D30" s="765">
        <v>1</v>
      </c>
      <c r="E30" s="765">
        <v>1</v>
      </c>
      <c r="F30" s="765"/>
      <c r="G30" s="765"/>
      <c r="H30" s="765">
        <v>2</v>
      </c>
      <c r="I30" s="765"/>
      <c r="J30" s="765"/>
      <c r="K30" s="765"/>
      <c r="L30" s="765"/>
      <c r="M30" s="765"/>
      <c r="N30" s="765"/>
      <c r="O30" s="766">
        <f t="shared" si="1"/>
        <v>4268</v>
      </c>
      <c r="P30" s="766">
        <f t="shared" si="2"/>
        <v>4921</v>
      </c>
      <c r="Q30" s="766">
        <f t="shared" si="3"/>
        <v>4930</v>
      </c>
      <c r="R30" s="339" t="s">
        <v>2352</v>
      </c>
      <c r="S30" s="339" t="s">
        <v>2357</v>
      </c>
      <c r="U30" s="339">
        <v>760</v>
      </c>
      <c r="V30" s="339">
        <v>760</v>
      </c>
      <c r="W30" s="339">
        <v>760</v>
      </c>
    </row>
    <row r="31" spans="2:23" s="339" customFormat="1" x14ac:dyDescent="0.2">
      <c r="B31" s="764" t="s">
        <v>1526</v>
      </c>
      <c r="C31" s="765">
        <v>1</v>
      </c>
      <c r="D31" s="765"/>
      <c r="E31" s="765">
        <v>2</v>
      </c>
      <c r="F31" s="765">
        <v>1</v>
      </c>
      <c r="G31" s="765"/>
      <c r="H31" s="765"/>
      <c r="I31" s="765">
        <v>1</v>
      </c>
      <c r="J31" s="765"/>
      <c r="K31" s="765"/>
      <c r="L31" s="765"/>
      <c r="M31" s="765"/>
      <c r="N31" s="765"/>
      <c r="O31" s="766">
        <f t="shared" si="1"/>
        <v>2001</v>
      </c>
      <c r="P31" s="766">
        <f t="shared" si="2"/>
        <v>2135</v>
      </c>
      <c r="Q31" s="766">
        <f t="shared" si="3"/>
        <v>2175</v>
      </c>
      <c r="R31" s="339" t="s">
        <v>2347</v>
      </c>
      <c r="S31" s="339" t="s">
        <v>2358</v>
      </c>
      <c r="T31" s="339">
        <v>500</v>
      </c>
      <c r="U31" s="339">
        <v>860</v>
      </c>
    </row>
    <row r="32" spans="2:23" s="339" customFormat="1" x14ac:dyDescent="0.2">
      <c r="B32" s="764" t="s">
        <v>931</v>
      </c>
      <c r="C32" s="765"/>
      <c r="D32" s="765"/>
      <c r="E32" s="765">
        <v>1</v>
      </c>
      <c r="F32" s="765"/>
      <c r="G32" s="765"/>
      <c r="H32" s="765"/>
      <c r="I32" s="765"/>
      <c r="J32" s="765"/>
      <c r="K32" s="765"/>
      <c r="L32" s="765"/>
      <c r="M32" s="765"/>
      <c r="N32" s="765"/>
      <c r="O32" s="766">
        <f t="shared" si="1"/>
        <v>395</v>
      </c>
      <c r="P32" s="766">
        <f t="shared" si="2"/>
        <v>395</v>
      </c>
      <c r="Q32" s="766">
        <f t="shared" si="3"/>
        <v>430</v>
      </c>
      <c r="R32" s="339" t="s">
        <v>2347</v>
      </c>
      <c r="S32" s="339" t="s">
        <v>2359</v>
      </c>
      <c r="T32" s="339" t="s">
        <v>1922</v>
      </c>
      <c r="U32" s="339">
        <v>760</v>
      </c>
    </row>
    <row r="33" spans="2:21" s="339" customFormat="1" x14ac:dyDescent="0.2">
      <c r="B33" s="767"/>
      <c r="C33" s="781">
        <f t="shared" ref="C33:N33" si="4">SUM(C17:C32)</f>
        <v>60</v>
      </c>
      <c r="D33" s="765">
        <f t="shared" si="4"/>
        <v>4</v>
      </c>
      <c r="E33" s="781">
        <f t="shared" si="4"/>
        <v>17</v>
      </c>
      <c r="F33" s="781">
        <f t="shared" si="4"/>
        <v>2</v>
      </c>
      <c r="G33" s="765">
        <f t="shared" si="4"/>
        <v>0</v>
      </c>
      <c r="H33" s="781">
        <f t="shared" si="4"/>
        <v>13</v>
      </c>
      <c r="I33" s="781">
        <f t="shared" si="4"/>
        <v>6</v>
      </c>
      <c r="J33" s="765">
        <f t="shared" si="4"/>
        <v>0</v>
      </c>
      <c r="K33" s="765">
        <f t="shared" si="4"/>
        <v>3</v>
      </c>
      <c r="L33" s="765">
        <f t="shared" si="4"/>
        <v>0</v>
      </c>
      <c r="M33" s="765">
        <f t="shared" si="4"/>
        <v>0</v>
      </c>
      <c r="N33" s="765">
        <f t="shared" si="4"/>
        <v>0</v>
      </c>
      <c r="O33" s="760"/>
      <c r="P33" s="766"/>
      <c r="Q33" s="766"/>
    </row>
    <row r="34" spans="2:21" s="339" customFormat="1" ht="13.5" thickBot="1" x14ac:dyDescent="0.25">
      <c r="B34" s="764" t="s">
        <v>870</v>
      </c>
      <c r="C34" s="765"/>
      <c r="D34" s="765"/>
      <c r="E34" s="765"/>
      <c r="F34" s="765"/>
      <c r="G34" s="765"/>
      <c r="H34" s="765"/>
      <c r="I34" s="765"/>
      <c r="J34" s="765"/>
      <c r="K34" s="765"/>
      <c r="L34" s="765"/>
      <c r="M34" s="765"/>
      <c r="N34" s="765"/>
      <c r="O34" s="768">
        <f>C34*$E$4+D34*$E$5+E34*$E$6+F34*$E$7+G34*$E$8+H34*$E$9+I34*$E$10+J34*$E$11+K34*$E$12</f>
        <v>0</v>
      </c>
      <c r="P34" s="766">
        <f>C34*$J$4+D34*$J$5+E34*$J$6+F34*$J$7+G34*$J$8+H34*$J$9+I34*$J$10+J34*$J$11+K34*$J$12</f>
        <v>0</v>
      </c>
      <c r="Q34" s="766">
        <f>C34*$O$4+D34*$O$5+E34*$O$6+F34*$O$7+G34*$O$8+H34*$O$9+I34*$O$10+J34*$O$11+K34*$O$12</f>
        <v>0</v>
      </c>
      <c r="R34" s="339" t="s">
        <v>2367</v>
      </c>
    </row>
    <row r="35" spans="2:21" s="339" customFormat="1" ht="13.5" thickBot="1" x14ac:dyDescent="0.25">
      <c r="O35" s="769">
        <f>SUM(O17:O34)</f>
        <v>43058</v>
      </c>
      <c r="P35" s="769">
        <f>SUM(P17:P34)</f>
        <v>48732</v>
      </c>
      <c r="Q35" s="769">
        <f>SUM(Q17:Q34)</f>
        <v>47925</v>
      </c>
      <c r="R35" s="769">
        <f>SUM(U17:Z32)</f>
        <v>58060</v>
      </c>
    </row>
    <row r="36" spans="2:21" s="339" customFormat="1" x14ac:dyDescent="0.2"/>
    <row r="37" spans="2:21" x14ac:dyDescent="0.2">
      <c r="D37" t="s">
        <v>2430</v>
      </c>
      <c r="E37" t="s">
        <v>2431</v>
      </c>
      <c r="H37" t="s">
        <v>2429</v>
      </c>
      <c r="I37" t="s">
        <v>2428</v>
      </c>
      <c r="K37" t="s">
        <v>2427</v>
      </c>
      <c r="S37" t="s">
        <v>2355</v>
      </c>
      <c r="T37" t="s">
        <v>2351</v>
      </c>
      <c r="U37" s="104" t="s">
        <v>2348</v>
      </c>
    </row>
    <row r="38" spans="2:21" x14ac:dyDescent="0.2">
      <c r="B38" t="s">
        <v>2327</v>
      </c>
      <c r="S38" t="s">
        <v>2355</v>
      </c>
      <c r="T38" t="s">
        <v>2350</v>
      </c>
      <c r="U38" s="104" t="s">
        <v>2349</v>
      </c>
    </row>
    <row r="39" spans="2:21" x14ac:dyDescent="0.2">
      <c r="B39" t="s">
        <v>2325</v>
      </c>
      <c r="E39">
        <v>1520</v>
      </c>
      <c r="S39" t="s">
        <v>2356</v>
      </c>
      <c r="T39" t="s">
        <v>2354</v>
      </c>
      <c r="U39" t="s">
        <v>2353</v>
      </c>
    </row>
    <row r="40" spans="2:21" x14ac:dyDescent="0.2">
      <c r="B40" t="s">
        <v>2326</v>
      </c>
      <c r="E40">
        <v>115</v>
      </c>
      <c r="S40" t="s">
        <v>2356</v>
      </c>
      <c r="T40" t="s">
        <v>2361</v>
      </c>
      <c r="U40" t="s">
        <v>2360</v>
      </c>
    </row>
    <row r="41" spans="2:21" x14ac:dyDescent="0.2">
      <c r="B41" t="s">
        <v>2328</v>
      </c>
      <c r="E41">
        <v>600</v>
      </c>
      <c r="S41" t="s">
        <v>2364</v>
      </c>
      <c r="T41" t="s">
        <v>2362</v>
      </c>
      <c r="U41" t="s">
        <v>2363</v>
      </c>
    </row>
    <row r="42" spans="2:21" x14ac:dyDescent="0.2">
      <c r="E42">
        <f>SUM(E39:E41)</f>
        <v>2235</v>
      </c>
    </row>
    <row r="44" spans="2:21" x14ac:dyDescent="0.2">
      <c r="I44">
        <v>5870</v>
      </c>
    </row>
    <row r="45" spans="2:21" x14ac:dyDescent="0.2">
      <c r="I45">
        <v>7884</v>
      </c>
      <c r="J45">
        <f>I45-I44</f>
        <v>2014</v>
      </c>
      <c r="K45">
        <f>J45/12</f>
        <v>167.83333333333334</v>
      </c>
      <c r="L45">
        <f>K45*$P$48</f>
        <v>7583.015151515152</v>
      </c>
    </row>
    <row r="46" spans="2:21" x14ac:dyDescent="0.2">
      <c r="I46">
        <v>9296</v>
      </c>
      <c r="J46">
        <f>I46-I45</f>
        <v>1412</v>
      </c>
      <c r="K46">
        <f>J46/12</f>
        <v>117.66666666666667</v>
      </c>
      <c r="L46">
        <f>K46*$P$48</f>
        <v>5316.393939393939</v>
      </c>
      <c r="O46">
        <v>3449</v>
      </c>
    </row>
    <row r="47" spans="2:21" x14ac:dyDescent="0.2">
      <c r="O47">
        <v>2515</v>
      </c>
    </row>
    <row r="48" spans="2:21" x14ac:dyDescent="0.2">
      <c r="O48">
        <f>SUM(O46:O47)*1.25</f>
        <v>7455</v>
      </c>
      <c r="P48">
        <f>O48/165</f>
        <v>45.18181818181818</v>
      </c>
    </row>
  </sheetData>
  <mergeCells count="4">
    <mergeCell ref="L2:N2"/>
    <mergeCell ref="G15:L15"/>
    <mergeCell ref="G2:I2"/>
    <mergeCell ref="B2:D2"/>
  </mergeCells>
  <phoneticPr fontId="0" type="noConversion"/>
  <hyperlinks>
    <hyperlink ref="L2" r:id="rId1" xr:uid="{00000000-0004-0000-2000-000000000000}"/>
    <hyperlink ref="B14" r:id="rId2" xr:uid="{00000000-0004-0000-2000-000001000000}"/>
    <hyperlink ref="U38" r:id="rId3" xr:uid="{00000000-0004-0000-2000-000002000000}"/>
    <hyperlink ref="U37" r:id="rId4" xr:uid="{00000000-0004-0000-2000-000003000000}"/>
  </hyperlinks>
  <pageMargins left="0.74803149606299213" right="0.74803149606299213" top="0.98425196850393704" bottom="0.98425196850393704" header="0.51181102362204722" footer="0.51181102362204722"/>
  <pageSetup paperSize="9" scale="38" orientation="landscape" r:id="rId5"/>
  <headerFooter alignWithMargins="0"/>
  <legacyDrawing r:id="rId6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Munka40"/>
  <dimension ref="A1:J44"/>
  <sheetViews>
    <sheetView workbookViewId="0">
      <selection activeCell="H47" sqref="H47"/>
    </sheetView>
  </sheetViews>
  <sheetFormatPr defaultRowHeight="12.75" x14ac:dyDescent="0.2"/>
  <cols>
    <col min="1" max="1" width="28.28515625" style="621" customWidth="1"/>
    <col min="2" max="2" width="16" style="622" customWidth="1"/>
    <col min="3" max="3" width="17.85546875" style="630" customWidth="1"/>
    <col min="4" max="4" width="19.5703125" style="630" customWidth="1"/>
    <col min="5" max="5" width="15.85546875" style="622" customWidth="1"/>
    <col min="6" max="6" width="17.28515625" style="630" customWidth="1"/>
    <col min="7" max="7" width="18.140625" style="630" bestFit="1" customWidth="1"/>
    <col min="8" max="8" width="14.7109375" style="622" customWidth="1"/>
    <col min="9" max="9" width="15.140625" style="47" customWidth="1"/>
    <col min="10" max="10" width="19.28515625" style="47" customWidth="1"/>
    <col min="11" max="16384" width="9.140625" style="47"/>
  </cols>
  <sheetData>
    <row r="1" spans="1:10" x14ac:dyDescent="0.2">
      <c r="B1" s="623" t="s">
        <v>1782</v>
      </c>
      <c r="C1" s="462"/>
      <c r="E1" s="623"/>
      <c r="F1" s="462"/>
      <c r="G1" s="462"/>
      <c r="H1" s="623"/>
    </row>
    <row r="2" spans="1:10" x14ac:dyDescent="0.2">
      <c r="B2" s="623"/>
      <c r="C2" s="462"/>
      <c r="E2" s="623"/>
      <c r="F2" s="462"/>
      <c r="G2" s="462"/>
      <c r="H2" s="623"/>
    </row>
    <row r="3" spans="1:10" x14ac:dyDescent="0.2">
      <c r="B3" s="624"/>
      <c r="C3" s="632"/>
      <c r="D3" s="629" t="s">
        <v>2008</v>
      </c>
      <c r="E3" s="625"/>
      <c r="F3" s="629"/>
      <c r="G3" s="1132" t="s">
        <v>2009</v>
      </c>
      <c r="H3" s="1132"/>
      <c r="I3" s="626"/>
      <c r="J3" s="626"/>
    </row>
    <row r="4" spans="1:10" x14ac:dyDescent="0.2">
      <c r="A4" s="621" t="s">
        <v>848</v>
      </c>
      <c r="B4" s="627" t="s">
        <v>2006</v>
      </c>
      <c r="C4" s="462" t="s">
        <v>2024</v>
      </c>
      <c r="D4" s="462" t="s">
        <v>2025</v>
      </c>
      <c r="E4" s="627" t="s">
        <v>2006</v>
      </c>
      <c r="F4" s="462" t="s">
        <v>2024</v>
      </c>
      <c r="G4" s="462" t="s">
        <v>2025</v>
      </c>
      <c r="H4" s="627" t="s">
        <v>2006</v>
      </c>
    </row>
    <row r="5" spans="1:10" x14ac:dyDescent="0.2">
      <c r="A5" s="621" t="s">
        <v>2010</v>
      </c>
      <c r="B5" s="622">
        <v>720</v>
      </c>
      <c r="E5" s="622">
        <f t="shared" ref="E5:E31" si="0">B5*D5</f>
        <v>0</v>
      </c>
      <c r="H5" s="622">
        <f t="shared" ref="H5:H31" si="1">B5*G5</f>
        <v>0</v>
      </c>
      <c r="I5" s="469"/>
      <c r="J5" s="470"/>
    </row>
    <row r="6" spans="1:10" x14ac:dyDescent="0.2">
      <c r="A6" s="621" t="s">
        <v>2011</v>
      </c>
      <c r="B6" s="622">
        <v>850</v>
      </c>
      <c r="C6" s="630">
        <v>14.65</v>
      </c>
      <c r="D6" s="630">
        <v>18</v>
      </c>
      <c r="E6" s="622">
        <f t="shared" si="0"/>
        <v>15300</v>
      </c>
      <c r="F6" s="630">
        <v>4.55</v>
      </c>
      <c r="G6" s="630">
        <v>7</v>
      </c>
      <c r="H6" s="622">
        <f t="shared" si="1"/>
        <v>5950</v>
      </c>
      <c r="I6" s="469"/>
      <c r="J6" s="470"/>
    </row>
    <row r="7" spans="1:10" x14ac:dyDescent="0.2">
      <c r="A7" s="621" t="s">
        <v>2012</v>
      </c>
      <c r="B7" s="622">
        <v>1140</v>
      </c>
      <c r="C7" s="630">
        <v>5.3</v>
      </c>
      <c r="D7" s="630">
        <v>7</v>
      </c>
      <c r="E7" s="622">
        <f t="shared" si="0"/>
        <v>7980</v>
      </c>
      <c r="F7" s="630">
        <v>5.75</v>
      </c>
      <c r="G7" s="630">
        <v>8</v>
      </c>
      <c r="H7" s="622">
        <f t="shared" si="1"/>
        <v>9120</v>
      </c>
      <c r="I7" s="469"/>
      <c r="J7" s="470"/>
    </row>
    <row r="8" spans="1:10" x14ac:dyDescent="0.2">
      <c r="A8" s="621" t="s">
        <v>2013</v>
      </c>
      <c r="B8" s="622">
        <v>980</v>
      </c>
      <c r="C8" s="630">
        <v>13.45</v>
      </c>
      <c r="D8" s="630">
        <v>15</v>
      </c>
      <c r="E8" s="622">
        <f t="shared" si="0"/>
        <v>14700</v>
      </c>
      <c r="F8" s="630">
        <v>11.05</v>
      </c>
      <c r="G8" s="630">
        <v>15</v>
      </c>
      <c r="H8" s="622">
        <f t="shared" si="1"/>
        <v>14700</v>
      </c>
      <c r="I8" s="469"/>
      <c r="J8" s="470"/>
    </row>
    <row r="9" spans="1:10" x14ac:dyDescent="0.2">
      <c r="A9" s="621" t="s">
        <v>2014</v>
      </c>
      <c r="B9" s="622">
        <v>1086</v>
      </c>
      <c r="C9" s="630">
        <v>3.75</v>
      </c>
      <c r="D9" s="630">
        <v>10</v>
      </c>
      <c r="E9" s="622">
        <f t="shared" si="0"/>
        <v>10860</v>
      </c>
      <c r="H9" s="622">
        <f t="shared" si="1"/>
        <v>0</v>
      </c>
      <c r="I9" s="469"/>
      <c r="J9" s="470"/>
    </row>
    <row r="10" spans="1:10" x14ac:dyDescent="0.2">
      <c r="A10" s="621" t="s">
        <v>2015</v>
      </c>
      <c r="B10" s="622">
        <v>1195</v>
      </c>
      <c r="E10" s="622">
        <f t="shared" si="0"/>
        <v>0</v>
      </c>
      <c r="H10" s="622">
        <f t="shared" si="1"/>
        <v>0</v>
      </c>
      <c r="I10" s="469"/>
      <c r="J10" s="470"/>
    </row>
    <row r="11" spans="1:10" x14ac:dyDescent="0.2">
      <c r="A11" s="621" t="s">
        <v>1780</v>
      </c>
      <c r="B11" s="622">
        <v>1050</v>
      </c>
      <c r="E11" s="622">
        <f t="shared" si="0"/>
        <v>0</v>
      </c>
      <c r="H11" s="622">
        <f t="shared" si="1"/>
        <v>0</v>
      </c>
    </row>
    <row r="12" spans="1:10" x14ac:dyDescent="0.2">
      <c r="A12" s="621" t="s">
        <v>1781</v>
      </c>
      <c r="B12" s="622">
        <v>1115</v>
      </c>
      <c r="D12" s="630">
        <v>1</v>
      </c>
      <c r="E12" s="622">
        <f t="shared" si="0"/>
        <v>1115</v>
      </c>
      <c r="H12" s="622">
        <f t="shared" si="1"/>
        <v>0</v>
      </c>
    </row>
    <row r="13" spans="1:10" x14ac:dyDescent="0.2">
      <c r="A13" s="621" t="s">
        <v>2007</v>
      </c>
      <c r="B13" s="622">
        <v>1365</v>
      </c>
      <c r="E13" s="622">
        <f t="shared" si="0"/>
        <v>0</v>
      </c>
      <c r="G13" s="630">
        <v>1</v>
      </c>
      <c r="H13" s="622">
        <f t="shared" si="1"/>
        <v>1365</v>
      </c>
    </row>
    <row r="14" spans="1:10" x14ac:dyDescent="0.2">
      <c r="A14" s="621" t="s">
        <v>2016</v>
      </c>
      <c r="B14" s="622">
        <v>375</v>
      </c>
      <c r="E14" s="622">
        <f t="shared" si="0"/>
        <v>0</v>
      </c>
      <c r="H14" s="622">
        <f t="shared" si="1"/>
        <v>0</v>
      </c>
    </row>
    <row r="15" spans="1:10" x14ac:dyDescent="0.2">
      <c r="A15" s="621" t="s">
        <v>2017</v>
      </c>
      <c r="B15" s="622">
        <v>390</v>
      </c>
      <c r="E15" s="622">
        <f t="shared" si="0"/>
        <v>0</v>
      </c>
      <c r="H15" s="622">
        <f t="shared" si="1"/>
        <v>0</v>
      </c>
    </row>
    <row r="16" spans="1:10" x14ac:dyDescent="0.2">
      <c r="A16" s="621" t="s">
        <v>2018</v>
      </c>
      <c r="B16" s="622">
        <v>415</v>
      </c>
      <c r="E16" s="622">
        <f t="shared" si="0"/>
        <v>0</v>
      </c>
      <c r="H16" s="622">
        <f t="shared" si="1"/>
        <v>0</v>
      </c>
    </row>
    <row r="17" spans="1:8" x14ac:dyDescent="0.2">
      <c r="A17" s="621" t="s">
        <v>2030</v>
      </c>
      <c r="B17" s="622">
        <v>375</v>
      </c>
      <c r="E17" s="622">
        <f t="shared" si="0"/>
        <v>0</v>
      </c>
      <c r="H17" s="622">
        <f t="shared" si="1"/>
        <v>0</v>
      </c>
    </row>
    <row r="18" spans="1:8" x14ac:dyDescent="0.2">
      <c r="A18" s="621" t="s">
        <v>2031</v>
      </c>
      <c r="B18" s="622">
        <v>390</v>
      </c>
      <c r="E18" s="622">
        <f t="shared" si="0"/>
        <v>0</v>
      </c>
      <c r="H18" s="622">
        <f t="shared" si="1"/>
        <v>0</v>
      </c>
    </row>
    <row r="19" spans="1:8" x14ac:dyDescent="0.2">
      <c r="A19" s="621" t="s">
        <v>2032</v>
      </c>
      <c r="B19" s="622">
        <v>415</v>
      </c>
      <c r="E19" s="622">
        <f t="shared" si="0"/>
        <v>0</v>
      </c>
      <c r="H19" s="622">
        <f t="shared" si="1"/>
        <v>0</v>
      </c>
    </row>
    <row r="20" spans="1:8" x14ac:dyDescent="0.2">
      <c r="A20" s="621" t="s">
        <v>1778</v>
      </c>
      <c r="B20" s="622">
        <v>1420</v>
      </c>
      <c r="E20" s="622">
        <f t="shared" si="0"/>
        <v>0</v>
      </c>
      <c r="H20" s="622">
        <f t="shared" si="1"/>
        <v>0</v>
      </c>
    </row>
    <row r="21" spans="1:8" x14ac:dyDescent="0.2">
      <c r="A21" s="621" t="s">
        <v>1779</v>
      </c>
      <c r="B21" s="622">
        <v>1535</v>
      </c>
      <c r="D21" s="630">
        <v>2</v>
      </c>
      <c r="E21" s="622">
        <f t="shared" si="0"/>
        <v>3070</v>
      </c>
      <c r="G21" s="630">
        <v>3</v>
      </c>
      <c r="H21" s="622">
        <f t="shared" si="1"/>
        <v>4605</v>
      </c>
    </row>
    <row r="22" spans="1:8" x14ac:dyDescent="0.2">
      <c r="A22" s="621" t="s">
        <v>2027</v>
      </c>
      <c r="B22" s="622">
        <v>1845</v>
      </c>
      <c r="D22" s="630">
        <v>3</v>
      </c>
      <c r="E22" s="622">
        <f t="shared" si="0"/>
        <v>5535</v>
      </c>
      <c r="G22" s="630">
        <v>3</v>
      </c>
      <c r="H22" s="622">
        <f t="shared" si="1"/>
        <v>5535</v>
      </c>
    </row>
    <row r="23" spans="1:8" x14ac:dyDescent="0.2">
      <c r="A23" s="621" t="s">
        <v>2019</v>
      </c>
      <c r="B23" s="622">
        <v>1715</v>
      </c>
      <c r="D23" s="630">
        <v>2</v>
      </c>
      <c r="E23" s="622">
        <f t="shared" si="0"/>
        <v>3430</v>
      </c>
      <c r="G23" s="630">
        <v>2</v>
      </c>
      <c r="H23" s="622">
        <f t="shared" si="1"/>
        <v>3430</v>
      </c>
    </row>
    <row r="24" spans="1:8" x14ac:dyDescent="0.2">
      <c r="A24" s="621" t="s">
        <v>2020</v>
      </c>
      <c r="B24" s="622">
        <v>1840</v>
      </c>
      <c r="E24" s="622">
        <f t="shared" si="0"/>
        <v>0</v>
      </c>
      <c r="H24" s="622">
        <f t="shared" si="1"/>
        <v>0</v>
      </c>
    </row>
    <row r="25" spans="1:8" x14ac:dyDescent="0.2">
      <c r="A25" s="621" t="s">
        <v>2021</v>
      </c>
      <c r="B25" s="622">
        <v>1970</v>
      </c>
      <c r="E25" s="622">
        <f t="shared" si="0"/>
        <v>0</v>
      </c>
      <c r="H25" s="622">
        <f t="shared" si="1"/>
        <v>0</v>
      </c>
    </row>
    <row r="26" spans="1:8" x14ac:dyDescent="0.2">
      <c r="A26" s="621" t="s">
        <v>2022</v>
      </c>
      <c r="B26" s="622">
        <v>740</v>
      </c>
      <c r="D26" s="630">
        <v>1</v>
      </c>
      <c r="E26" s="622">
        <f t="shared" si="0"/>
        <v>740</v>
      </c>
      <c r="H26" s="622">
        <f t="shared" si="1"/>
        <v>0</v>
      </c>
    </row>
    <row r="27" spans="1:8" x14ac:dyDescent="0.2">
      <c r="A27" s="621" t="s">
        <v>2023</v>
      </c>
      <c r="B27" s="622">
        <v>850</v>
      </c>
      <c r="D27" s="630">
        <v>2</v>
      </c>
      <c r="E27" s="622">
        <f t="shared" si="0"/>
        <v>1700</v>
      </c>
      <c r="G27" s="630">
        <v>1</v>
      </c>
      <c r="H27" s="622">
        <f t="shared" si="1"/>
        <v>850</v>
      </c>
    </row>
    <row r="28" spans="1:8" x14ac:dyDescent="0.2">
      <c r="A28" s="621" t="s">
        <v>2028</v>
      </c>
      <c r="B28" s="622">
        <v>390</v>
      </c>
      <c r="E28" s="622">
        <f t="shared" si="0"/>
        <v>0</v>
      </c>
      <c r="H28" s="622">
        <f t="shared" si="1"/>
        <v>0</v>
      </c>
    </row>
    <row r="29" spans="1:8" x14ac:dyDescent="0.2">
      <c r="A29" s="621" t="s">
        <v>2029</v>
      </c>
      <c r="B29" s="622">
        <v>445</v>
      </c>
      <c r="D29" s="630">
        <v>1</v>
      </c>
      <c r="E29" s="622">
        <f t="shared" si="0"/>
        <v>445</v>
      </c>
      <c r="G29" s="630">
        <v>1</v>
      </c>
      <c r="H29" s="622">
        <f t="shared" si="1"/>
        <v>445</v>
      </c>
    </row>
    <row r="30" spans="1:8" x14ac:dyDescent="0.2">
      <c r="A30" s="621" t="s">
        <v>2026</v>
      </c>
      <c r="B30" s="622">
        <v>1765</v>
      </c>
      <c r="D30" s="630">
        <v>6</v>
      </c>
      <c r="E30" s="622">
        <f t="shared" si="0"/>
        <v>10590</v>
      </c>
      <c r="G30" s="630">
        <v>6</v>
      </c>
      <c r="H30" s="622">
        <f t="shared" si="1"/>
        <v>10590</v>
      </c>
    </row>
    <row r="31" spans="1:8" ht="13.5" thickBot="1" x14ac:dyDescent="0.25">
      <c r="A31" s="621" t="s">
        <v>2043</v>
      </c>
      <c r="B31" s="622">
        <v>10307</v>
      </c>
      <c r="D31" s="630">
        <v>1</v>
      </c>
      <c r="E31" s="622">
        <f t="shared" si="0"/>
        <v>10307</v>
      </c>
      <c r="G31" s="630">
        <v>1</v>
      </c>
      <c r="H31" s="622">
        <f t="shared" si="1"/>
        <v>10307</v>
      </c>
    </row>
    <row r="32" spans="1:8" ht="13.5" thickBot="1" x14ac:dyDescent="0.25">
      <c r="A32" s="633">
        <f>E32+H32</f>
        <v>152669</v>
      </c>
      <c r="B32" s="634">
        <f>A32*1.25</f>
        <v>190836.25</v>
      </c>
      <c r="E32" s="628">
        <f>SUM(E5:E31)</f>
        <v>85772</v>
      </c>
      <c r="F32" s="631"/>
      <c r="H32" s="628">
        <f>SUM(H5:H31)</f>
        <v>66897</v>
      </c>
    </row>
    <row r="34" spans="1:1" x14ac:dyDescent="0.2">
      <c r="A34" s="66" t="s">
        <v>2033</v>
      </c>
    </row>
    <row r="35" spans="1:1" x14ac:dyDescent="0.2">
      <c r="A35" s="66" t="s">
        <v>2034</v>
      </c>
    </row>
    <row r="36" spans="1:1" x14ac:dyDescent="0.2">
      <c r="A36" s="66" t="s">
        <v>2035</v>
      </c>
    </row>
    <row r="37" spans="1:1" x14ac:dyDescent="0.2">
      <c r="A37" s="66" t="s">
        <v>2036</v>
      </c>
    </row>
    <row r="38" spans="1:1" x14ac:dyDescent="0.2">
      <c r="A38" s="66" t="s">
        <v>2037</v>
      </c>
    </row>
    <row r="39" spans="1:1" x14ac:dyDescent="0.2">
      <c r="A39" s="66" t="s">
        <v>2038</v>
      </c>
    </row>
    <row r="40" spans="1:1" x14ac:dyDescent="0.2">
      <c r="A40" s="66" t="s">
        <v>2039</v>
      </c>
    </row>
    <row r="41" spans="1:1" x14ac:dyDescent="0.2">
      <c r="A41" s="66" t="s">
        <v>2040</v>
      </c>
    </row>
    <row r="42" spans="1:1" x14ac:dyDescent="0.2">
      <c r="A42" s="66" t="s">
        <v>2041</v>
      </c>
    </row>
    <row r="43" spans="1:1" x14ac:dyDescent="0.2">
      <c r="A43" s="66"/>
    </row>
    <row r="44" spans="1:1" x14ac:dyDescent="0.2">
      <c r="A44" s="66" t="s">
        <v>2042</v>
      </c>
    </row>
  </sheetData>
  <mergeCells count="1">
    <mergeCell ref="G3:H3"/>
  </mergeCells>
  <phoneticPr fontId="28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Munka41">
    <pageSetUpPr fitToPage="1"/>
  </sheetPr>
  <dimension ref="A1:J50"/>
  <sheetViews>
    <sheetView topLeftCell="A7" workbookViewId="0">
      <selection activeCell="E34" activeCellId="3" sqref="E32 H32 H34 E34"/>
    </sheetView>
  </sheetViews>
  <sheetFormatPr defaultRowHeight="12.75" x14ac:dyDescent="0.2"/>
  <cols>
    <col min="1" max="1" width="30.85546875" style="621" bestFit="1" customWidth="1"/>
    <col min="2" max="2" width="16" style="622" customWidth="1"/>
    <col min="3" max="3" width="17.85546875" style="630" customWidth="1"/>
    <col min="4" max="4" width="19.5703125" style="630" customWidth="1"/>
    <col min="5" max="5" width="15.85546875" style="622" customWidth="1"/>
    <col min="6" max="6" width="17.28515625" style="630" customWidth="1"/>
    <col min="7" max="7" width="18.140625" style="630" bestFit="1" customWidth="1"/>
    <col min="8" max="8" width="14.7109375" style="622" customWidth="1"/>
    <col min="9" max="9" width="10.28515625" style="47" customWidth="1"/>
    <col min="10" max="10" width="19.28515625" style="47" customWidth="1"/>
    <col min="11" max="16384" width="9.140625" style="47"/>
  </cols>
  <sheetData>
    <row r="1" spans="1:10" x14ac:dyDescent="0.2">
      <c r="B1" s="623" t="s">
        <v>1782</v>
      </c>
      <c r="C1" s="462"/>
      <c r="E1" s="623"/>
      <c r="F1" s="462"/>
      <c r="G1" s="462"/>
      <c r="H1" s="623"/>
    </row>
    <row r="2" spans="1:10" x14ac:dyDescent="0.2">
      <c r="B2" s="623"/>
      <c r="C2" s="462"/>
      <c r="E2" s="623"/>
      <c r="F2" s="462"/>
      <c r="G2" s="462"/>
      <c r="H2" s="623"/>
    </row>
    <row r="3" spans="1:10" x14ac:dyDescent="0.2">
      <c r="B3" s="624"/>
      <c r="C3" s="632"/>
      <c r="D3" s="629" t="s">
        <v>2008</v>
      </c>
      <c r="E3" s="625"/>
      <c r="F3" s="629"/>
      <c r="G3" s="1132" t="s">
        <v>2009</v>
      </c>
      <c r="H3" s="1132"/>
      <c r="I3" s="626"/>
      <c r="J3" s="626"/>
    </row>
    <row r="4" spans="1:10" x14ac:dyDescent="0.2">
      <c r="A4" s="621" t="s">
        <v>848</v>
      </c>
      <c r="B4" s="627" t="s">
        <v>2006</v>
      </c>
      <c r="C4" s="462" t="s">
        <v>2024</v>
      </c>
      <c r="D4" s="462" t="s">
        <v>2025</v>
      </c>
      <c r="E4" s="627" t="s">
        <v>2006</v>
      </c>
      <c r="F4" s="462" t="s">
        <v>2024</v>
      </c>
      <c r="G4" s="462" t="s">
        <v>2025</v>
      </c>
      <c r="H4" s="627" t="s">
        <v>2006</v>
      </c>
    </row>
    <row r="5" spans="1:10" x14ac:dyDescent="0.2">
      <c r="A5" s="621" t="s">
        <v>2010</v>
      </c>
      <c r="B5" s="622">
        <v>720</v>
      </c>
      <c r="E5" s="622">
        <f t="shared" ref="E5:E34" si="0">B5*D5</f>
        <v>0</v>
      </c>
      <c r="H5" s="622">
        <f t="shared" ref="H5:H34" si="1">B5*G5</f>
        <v>0</v>
      </c>
      <c r="I5" s="469"/>
      <c r="J5" s="470"/>
    </row>
    <row r="6" spans="1:10" x14ac:dyDescent="0.2">
      <c r="A6" s="621" t="s">
        <v>2011</v>
      </c>
      <c r="B6" s="622">
        <v>850</v>
      </c>
      <c r="C6" s="655">
        <v>10.93</v>
      </c>
      <c r="D6" s="655">
        <v>5</v>
      </c>
      <c r="E6" s="622">
        <f t="shared" si="0"/>
        <v>4250</v>
      </c>
      <c r="H6" s="622">
        <f t="shared" si="1"/>
        <v>0</v>
      </c>
      <c r="I6" s="469"/>
      <c r="J6" s="470"/>
    </row>
    <row r="7" spans="1:10" s="65" customFormat="1" ht="13.5" thickBot="1" x14ac:dyDescent="0.25">
      <c r="A7" s="657" t="s">
        <v>2087</v>
      </c>
      <c r="B7" s="658">
        <v>1075</v>
      </c>
      <c r="C7" s="659">
        <v>10.72</v>
      </c>
      <c r="D7" s="659">
        <v>15</v>
      </c>
      <c r="E7" s="658">
        <f t="shared" si="0"/>
        <v>16125</v>
      </c>
      <c r="F7" s="659">
        <v>9.4499999999999993</v>
      </c>
      <c r="G7" s="659">
        <v>10</v>
      </c>
      <c r="H7" s="658">
        <f t="shared" si="1"/>
        <v>10750</v>
      </c>
      <c r="I7" s="660"/>
      <c r="J7" s="661"/>
    </row>
    <row r="8" spans="1:10" x14ac:dyDescent="0.2">
      <c r="A8" s="621" t="s">
        <v>2013</v>
      </c>
      <c r="B8" s="622">
        <v>980</v>
      </c>
      <c r="C8" s="655">
        <v>11.2</v>
      </c>
      <c r="D8" s="655">
        <v>20</v>
      </c>
      <c r="E8" s="622">
        <f t="shared" si="0"/>
        <v>19600</v>
      </c>
      <c r="F8" s="655">
        <v>8.0500000000000007</v>
      </c>
      <c r="G8" s="655">
        <v>10</v>
      </c>
      <c r="H8" s="622">
        <f t="shared" si="1"/>
        <v>9800</v>
      </c>
      <c r="I8" s="469" t="s">
        <v>2096</v>
      </c>
      <c r="J8" s="470"/>
    </row>
    <row r="9" spans="1:10" x14ac:dyDescent="0.2">
      <c r="A9" s="621" t="s">
        <v>2014</v>
      </c>
      <c r="B9" s="622">
        <v>1086</v>
      </c>
      <c r="C9" s="655">
        <v>3.75</v>
      </c>
      <c r="D9" s="655">
        <v>10</v>
      </c>
      <c r="E9" s="622">
        <f t="shared" si="0"/>
        <v>10860</v>
      </c>
      <c r="F9" s="655">
        <v>4.05</v>
      </c>
      <c r="G9" s="655">
        <v>0</v>
      </c>
      <c r="H9" s="622">
        <f t="shared" si="1"/>
        <v>0</v>
      </c>
      <c r="I9" s="469" t="s">
        <v>2095</v>
      </c>
      <c r="J9" s="470"/>
    </row>
    <row r="10" spans="1:10" s="65" customFormat="1" ht="13.5" thickBot="1" x14ac:dyDescent="0.25">
      <c r="A10" s="657" t="s">
        <v>2086</v>
      </c>
      <c r="B10" s="658">
        <v>1111</v>
      </c>
      <c r="C10" s="662"/>
      <c r="D10" s="662"/>
      <c r="E10" s="658">
        <f t="shared" si="0"/>
        <v>0</v>
      </c>
      <c r="F10" s="662"/>
      <c r="G10" s="662"/>
      <c r="H10" s="658">
        <f t="shared" si="1"/>
        <v>0</v>
      </c>
      <c r="I10" s="660"/>
      <c r="J10" s="661"/>
    </row>
    <row r="11" spans="1:10" x14ac:dyDescent="0.2">
      <c r="A11" s="621" t="s">
        <v>1780</v>
      </c>
      <c r="B11" s="622">
        <v>1050</v>
      </c>
      <c r="E11" s="622">
        <f t="shared" si="0"/>
        <v>0</v>
      </c>
      <c r="H11" s="622">
        <f t="shared" si="1"/>
        <v>0</v>
      </c>
    </row>
    <row r="12" spans="1:10" x14ac:dyDescent="0.2">
      <c r="A12" s="621" t="s">
        <v>1781</v>
      </c>
      <c r="B12" s="622">
        <v>1115</v>
      </c>
      <c r="D12" s="655">
        <v>1</v>
      </c>
      <c r="E12" s="622">
        <f t="shared" si="0"/>
        <v>1115</v>
      </c>
      <c r="H12" s="622">
        <f t="shared" si="1"/>
        <v>0</v>
      </c>
    </row>
    <row r="13" spans="1:10" x14ac:dyDescent="0.2">
      <c r="A13" s="621" t="s">
        <v>2085</v>
      </c>
      <c r="B13" s="622">
        <v>1240</v>
      </c>
      <c r="E13" s="622">
        <f t="shared" si="0"/>
        <v>0</v>
      </c>
      <c r="G13" s="655">
        <v>1</v>
      </c>
      <c r="H13" s="622">
        <f t="shared" si="1"/>
        <v>1240</v>
      </c>
    </row>
    <row r="14" spans="1:10" x14ac:dyDescent="0.2">
      <c r="A14" s="621" t="s">
        <v>2016</v>
      </c>
      <c r="B14" s="622">
        <v>375</v>
      </c>
      <c r="E14" s="622">
        <f t="shared" si="0"/>
        <v>0</v>
      </c>
      <c r="H14" s="622">
        <f t="shared" si="1"/>
        <v>0</v>
      </c>
    </row>
    <row r="15" spans="1:10" x14ac:dyDescent="0.2">
      <c r="A15" s="621" t="s">
        <v>2017</v>
      </c>
      <c r="B15" s="622">
        <v>390</v>
      </c>
      <c r="D15" s="655">
        <v>1</v>
      </c>
      <c r="E15" s="622">
        <f t="shared" si="0"/>
        <v>390</v>
      </c>
      <c r="H15" s="622">
        <f t="shared" si="1"/>
        <v>0</v>
      </c>
    </row>
    <row r="16" spans="1:10" x14ac:dyDescent="0.2">
      <c r="A16" s="621" t="s">
        <v>2088</v>
      </c>
      <c r="B16" s="622">
        <v>400</v>
      </c>
      <c r="D16" s="655">
        <v>1</v>
      </c>
      <c r="E16" s="622">
        <f t="shared" si="0"/>
        <v>400</v>
      </c>
      <c r="H16" s="622">
        <f t="shared" si="1"/>
        <v>0</v>
      </c>
    </row>
    <row r="17" spans="1:8" x14ac:dyDescent="0.2">
      <c r="A17" s="621" t="s">
        <v>2030</v>
      </c>
      <c r="B17" s="622">
        <v>375</v>
      </c>
      <c r="E17" s="622">
        <f t="shared" si="0"/>
        <v>0</v>
      </c>
      <c r="H17" s="622">
        <f>B17*G17</f>
        <v>0</v>
      </c>
    </row>
    <row r="18" spans="1:8" x14ac:dyDescent="0.2">
      <c r="A18" s="621" t="s">
        <v>2031</v>
      </c>
      <c r="B18" s="622">
        <v>390</v>
      </c>
      <c r="E18" s="622">
        <f t="shared" si="0"/>
        <v>0</v>
      </c>
      <c r="H18" s="622">
        <f t="shared" si="1"/>
        <v>0</v>
      </c>
    </row>
    <row r="19" spans="1:8" x14ac:dyDescent="0.2">
      <c r="A19" s="621" t="s">
        <v>2089</v>
      </c>
      <c r="B19" s="622">
        <v>400</v>
      </c>
      <c r="E19" s="622">
        <f t="shared" si="0"/>
        <v>0</v>
      </c>
      <c r="H19" s="622">
        <f t="shared" si="1"/>
        <v>0</v>
      </c>
    </row>
    <row r="20" spans="1:8" x14ac:dyDescent="0.2">
      <c r="A20" s="621" t="s">
        <v>1778</v>
      </c>
      <c r="B20" s="622">
        <v>1420</v>
      </c>
      <c r="E20" s="622">
        <f t="shared" si="0"/>
        <v>0</v>
      </c>
      <c r="H20" s="622">
        <f t="shared" si="1"/>
        <v>0</v>
      </c>
    </row>
    <row r="21" spans="1:8" x14ac:dyDescent="0.2">
      <c r="A21" s="621" t="s">
        <v>1779</v>
      </c>
      <c r="B21" s="622">
        <v>1535</v>
      </c>
      <c r="D21" s="655">
        <v>3</v>
      </c>
      <c r="E21" s="622">
        <f t="shared" si="0"/>
        <v>4605</v>
      </c>
      <c r="H21" s="622">
        <f t="shared" si="1"/>
        <v>0</v>
      </c>
    </row>
    <row r="22" spans="1:8" x14ac:dyDescent="0.2">
      <c r="A22" s="621" t="s">
        <v>2090</v>
      </c>
      <c r="B22" s="622">
        <v>1700</v>
      </c>
      <c r="D22" s="655">
        <v>4</v>
      </c>
      <c r="E22" s="622">
        <f t="shared" si="0"/>
        <v>6800</v>
      </c>
      <c r="G22" s="655">
        <v>6</v>
      </c>
      <c r="H22" s="622">
        <f t="shared" si="1"/>
        <v>10200</v>
      </c>
    </row>
    <row r="23" spans="1:8" x14ac:dyDescent="0.2">
      <c r="A23" s="621" t="s">
        <v>2019</v>
      </c>
      <c r="B23" s="622">
        <v>1715</v>
      </c>
      <c r="D23" s="655">
        <v>2</v>
      </c>
      <c r="E23" s="622">
        <f t="shared" si="0"/>
        <v>3430</v>
      </c>
      <c r="G23" s="655">
        <v>2</v>
      </c>
      <c r="H23" s="622">
        <f t="shared" si="1"/>
        <v>3430</v>
      </c>
    </row>
    <row r="24" spans="1:8" x14ac:dyDescent="0.2">
      <c r="A24" s="621" t="s">
        <v>2020</v>
      </c>
      <c r="B24" s="622">
        <v>1840</v>
      </c>
      <c r="E24" s="622">
        <f t="shared" si="0"/>
        <v>0</v>
      </c>
      <c r="H24" s="622">
        <f t="shared" si="1"/>
        <v>0</v>
      </c>
    </row>
    <row r="25" spans="1:8" x14ac:dyDescent="0.2">
      <c r="A25" s="621" t="s">
        <v>2091</v>
      </c>
      <c r="B25" s="622">
        <v>1915</v>
      </c>
      <c r="E25" s="622">
        <f t="shared" si="0"/>
        <v>0</v>
      </c>
      <c r="H25" s="622">
        <f t="shared" si="1"/>
        <v>0</v>
      </c>
    </row>
    <row r="26" spans="1:8" x14ac:dyDescent="0.2">
      <c r="A26" s="621" t="s">
        <v>2022</v>
      </c>
      <c r="B26" s="622">
        <v>740</v>
      </c>
      <c r="D26" s="655">
        <v>4</v>
      </c>
      <c r="E26" s="622">
        <f t="shared" si="0"/>
        <v>2960</v>
      </c>
      <c r="G26" s="655">
        <v>1</v>
      </c>
      <c r="H26" s="622">
        <f t="shared" si="1"/>
        <v>740</v>
      </c>
    </row>
    <row r="27" spans="1:8" x14ac:dyDescent="0.2">
      <c r="A27" s="621" t="s">
        <v>2092</v>
      </c>
      <c r="B27" s="622">
        <v>805</v>
      </c>
      <c r="D27" s="655">
        <v>3</v>
      </c>
      <c r="E27" s="622">
        <f t="shared" si="0"/>
        <v>2415</v>
      </c>
      <c r="G27" s="655">
        <v>1</v>
      </c>
      <c r="H27" s="622">
        <f t="shared" si="1"/>
        <v>805</v>
      </c>
    </row>
    <row r="28" spans="1:8" x14ac:dyDescent="0.2">
      <c r="A28" s="621" t="s">
        <v>2093</v>
      </c>
      <c r="B28" s="622">
        <v>805</v>
      </c>
      <c r="D28" s="655">
        <v>2</v>
      </c>
      <c r="E28" s="622">
        <f>B28*D28</f>
        <v>1610</v>
      </c>
      <c r="G28" s="655">
        <v>5</v>
      </c>
      <c r="H28" s="622">
        <f>B28*G28</f>
        <v>4025</v>
      </c>
    </row>
    <row r="29" spans="1:8" x14ac:dyDescent="0.2">
      <c r="A29" s="621" t="s">
        <v>2028</v>
      </c>
      <c r="B29" s="622">
        <v>390</v>
      </c>
      <c r="E29" s="622">
        <f t="shared" si="0"/>
        <v>0</v>
      </c>
      <c r="H29" s="622">
        <f t="shared" si="1"/>
        <v>0</v>
      </c>
    </row>
    <row r="30" spans="1:8" x14ac:dyDescent="0.2">
      <c r="A30" s="621" t="s">
        <v>2029</v>
      </c>
      <c r="B30" s="622">
        <v>445</v>
      </c>
      <c r="D30" s="655">
        <v>2</v>
      </c>
      <c r="E30" s="622">
        <f t="shared" si="0"/>
        <v>890</v>
      </c>
      <c r="H30" s="622">
        <f t="shared" si="1"/>
        <v>0</v>
      </c>
    </row>
    <row r="31" spans="1:8" x14ac:dyDescent="0.2">
      <c r="A31" s="621" t="s">
        <v>2094</v>
      </c>
      <c r="B31" s="622">
        <v>505</v>
      </c>
      <c r="D31" s="656"/>
      <c r="E31" s="622">
        <f>B31*D31</f>
        <v>0</v>
      </c>
      <c r="G31" s="655">
        <v>1</v>
      </c>
      <c r="H31" s="622">
        <f>B31*G31</f>
        <v>505</v>
      </c>
    </row>
    <row r="32" spans="1:8" x14ac:dyDescent="0.2">
      <c r="A32" s="621" t="s">
        <v>2026</v>
      </c>
      <c r="B32" s="622">
        <v>1765</v>
      </c>
      <c r="D32" s="655">
        <v>6</v>
      </c>
      <c r="E32" s="622">
        <f t="shared" si="0"/>
        <v>10590</v>
      </c>
      <c r="G32" s="655">
        <v>6</v>
      </c>
      <c r="H32" s="622">
        <f t="shared" si="1"/>
        <v>10590</v>
      </c>
    </row>
    <row r="33" spans="1:8" x14ac:dyDescent="0.2">
      <c r="D33" s="655"/>
      <c r="G33" s="655"/>
    </row>
    <row r="34" spans="1:8" ht="13.5" thickBot="1" x14ac:dyDescent="0.25">
      <c r="A34" s="621" t="s">
        <v>2082</v>
      </c>
      <c r="B34" s="622">
        <v>10055</v>
      </c>
      <c r="D34" s="655">
        <v>1</v>
      </c>
      <c r="E34" s="622">
        <f t="shared" si="0"/>
        <v>10055</v>
      </c>
      <c r="G34" s="655">
        <v>1</v>
      </c>
      <c r="H34" s="622">
        <f t="shared" si="1"/>
        <v>10055</v>
      </c>
    </row>
    <row r="35" spans="1:8" ht="13.5" thickBot="1" x14ac:dyDescent="0.25">
      <c r="A35" s="633">
        <f>E35+H35</f>
        <v>158235</v>
      </c>
      <c r="B35" s="634">
        <f>A35*1.25</f>
        <v>197793.75</v>
      </c>
      <c r="E35" s="628">
        <f>SUM(E5:E34)</f>
        <v>96095</v>
      </c>
      <c r="F35" s="631"/>
      <c r="H35" s="628">
        <f>SUM(H5:H34)</f>
        <v>62140</v>
      </c>
    </row>
    <row r="37" spans="1:8" x14ac:dyDescent="0.2">
      <c r="A37" s="66" t="s">
        <v>2033</v>
      </c>
    </row>
    <row r="38" spans="1:8" x14ac:dyDescent="0.2">
      <c r="A38" s="66" t="s">
        <v>2034</v>
      </c>
    </row>
    <row r="39" spans="1:8" x14ac:dyDescent="0.2">
      <c r="A39" s="66" t="s">
        <v>2035</v>
      </c>
    </row>
    <row r="40" spans="1:8" x14ac:dyDescent="0.2">
      <c r="A40" s="66" t="s">
        <v>2036</v>
      </c>
    </row>
    <row r="41" spans="1:8" x14ac:dyDescent="0.2">
      <c r="A41" s="66" t="s">
        <v>2037</v>
      </c>
    </row>
    <row r="42" spans="1:8" x14ac:dyDescent="0.2">
      <c r="A42" s="66" t="s">
        <v>2038</v>
      </c>
    </row>
    <row r="43" spans="1:8" x14ac:dyDescent="0.2">
      <c r="A43" s="66" t="s">
        <v>2039</v>
      </c>
    </row>
    <row r="44" spans="1:8" x14ac:dyDescent="0.2">
      <c r="A44" s="66" t="s">
        <v>2040</v>
      </c>
    </row>
    <row r="45" spans="1:8" x14ac:dyDescent="0.2">
      <c r="A45" s="66" t="s">
        <v>2041</v>
      </c>
    </row>
    <row r="46" spans="1:8" x14ac:dyDescent="0.2">
      <c r="A46" s="621" t="s">
        <v>2083</v>
      </c>
    </row>
    <row r="48" spans="1:8" x14ac:dyDescent="0.2">
      <c r="A48" s="66" t="s">
        <v>2042</v>
      </c>
    </row>
    <row r="49" spans="1:1" x14ac:dyDescent="0.2">
      <c r="A49" s="621" t="s">
        <v>2084</v>
      </c>
    </row>
    <row r="50" spans="1:1" x14ac:dyDescent="0.2">
      <c r="A50" s="621" t="s">
        <v>2097</v>
      </c>
    </row>
  </sheetData>
  <mergeCells count="1">
    <mergeCell ref="G3:H3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Munka42"/>
  <dimension ref="B1:P38"/>
  <sheetViews>
    <sheetView topLeftCell="D1" workbookViewId="0">
      <selection activeCell="I4" sqref="I4"/>
    </sheetView>
  </sheetViews>
  <sheetFormatPr defaultRowHeight="12.75" x14ac:dyDescent="0.2"/>
  <cols>
    <col min="2" max="2" width="32.5703125" customWidth="1"/>
    <col min="4" max="4" width="40.42578125" bestFit="1" customWidth="1"/>
    <col min="5" max="7" width="11.28515625" customWidth="1"/>
    <col min="8" max="8" width="14.42578125" customWidth="1"/>
    <col min="9" max="9" width="12" bestFit="1" customWidth="1"/>
    <col min="10" max="10" width="13.42578125" customWidth="1"/>
    <col min="11" max="11" width="13.85546875" customWidth="1"/>
    <col min="12" max="12" width="12.28515625" customWidth="1"/>
    <col min="13" max="13" width="13.140625" customWidth="1"/>
  </cols>
  <sheetData>
    <row r="1" spans="2:16" x14ac:dyDescent="0.2">
      <c r="B1" t="s">
        <v>1738</v>
      </c>
    </row>
    <row r="3" spans="2:16" x14ac:dyDescent="0.2">
      <c r="B3" t="s">
        <v>562</v>
      </c>
    </row>
    <row r="4" spans="2:16" x14ac:dyDescent="0.2">
      <c r="B4" t="s">
        <v>563</v>
      </c>
      <c r="G4" s="664" t="s">
        <v>2112</v>
      </c>
      <c r="H4" s="665"/>
      <c r="I4" s="664" t="s">
        <v>2115</v>
      </c>
      <c r="J4" s="665"/>
      <c r="K4" s="664" t="s">
        <v>561</v>
      </c>
      <c r="L4" s="665"/>
      <c r="M4" t="s">
        <v>2117</v>
      </c>
    </row>
    <row r="5" spans="2:16" x14ac:dyDescent="0.2">
      <c r="C5" t="s">
        <v>2109</v>
      </c>
      <c r="D5" t="s">
        <v>595</v>
      </c>
      <c r="E5">
        <v>13.5</v>
      </c>
      <c r="F5" s="674">
        <f>E5*10</f>
        <v>135</v>
      </c>
      <c r="G5" s="666">
        <v>122</v>
      </c>
      <c r="H5" s="667">
        <f t="shared" ref="H5:H17" si="0">$E5*G5</f>
        <v>1647</v>
      </c>
      <c r="I5" s="666">
        <v>104</v>
      </c>
      <c r="J5" s="667">
        <f t="shared" ref="J5:J17" si="1">$E5*I5</f>
        <v>1404</v>
      </c>
      <c r="K5" s="671">
        <v>133</v>
      </c>
      <c r="L5" s="667">
        <f>$E5*K5</f>
        <v>1795.5</v>
      </c>
      <c r="M5" s="666">
        <v>98</v>
      </c>
      <c r="N5" s="667">
        <f>$E5*M5</f>
        <v>1323</v>
      </c>
      <c r="O5">
        <v>45</v>
      </c>
      <c r="P5" t="s">
        <v>2122</v>
      </c>
    </row>
    <row r="6" spans="2:16" x14ac:dyDescent="0.2">
      <c r="D6" t="s">
        <v>594</v>
      </c>
      <c r="E6">
        <v>36</v>
      </c>
      <c r="F6" s="674">
        <f t="shared" ref="F6:F17" si="2">E6*10</f>
        <v>360</v>
      </c>
      <c r="G6" s="666">
        <v>237</v>
      </c>
      <c r="H6" s="667">
        <f t="shared" si="0"/>
        <v>8532</v>
      </c>
      <c r="I6" s="666">
        <v>163</v>
      </c>
      <c r="J6" s="667">
        <f t="shared" si="1"/>
        <v>5868</v>
      </c>
      <c r="K6" s="671">
        <v>207</v>
      </c>
      <c r="L6" s="667">
        <f t="shared" ref="L6:N17" si="3">$E6*K6</f>
        <v>7452</v>
      </c>
      <c r="M6" s="666">
        <v>138</v>
      </c>
      <c r="N6" s="667">
        <f t="shared" si="3"/>
        <v>4968</v>
      </c>
      <c r="O6">
        <v>90</v>
      </c>
      <c r="P6" t="s">
        <v>2121</v>
      </c>
    </row>
    <row r="7" spans="2:16" x14ac:dyDescent="0.2">
      <c r="D7" t="s">
        <v>565</v>
      </c>
      <c r="E7">
        <v>30</v>
      </c>
      <c r="F7" s="674">
        <f t="shared" si="2"/>
        <v>300</v>
      </c>
      <c r="G7" s="666">
        <v>55</v>
      </c>
      <c r="H7" s="667">
        <f t="shared" si="0"/>
        <v>1650</v>
      </c>
      <c r="I7" s="666">
        <v>31</v>
      </c>
      <c r="J7" s="667">
        <f t="shared" si="1"/>
        <v>930</v>
      </c>
      <c r="K7" s="671">
        <v>40</v>
      </c>
      <c r="L7" s="667">
        <f t="shared" si="3"/>
        <v>1200</v>
      </c>
      <c r="M7" s="666">
        <v>31</v>
      </c>
      <c r="N7" s="667">
        <f t="shared" si="3"/>
        <v>930</v>
      </c>
      <c r="O7">
        <v>300</v>
      </c>
    </row>
    <row r="8" spans="2:16" x14ac:dyDescent="0.2">
      <c r="D8" t="s">
        <v>564</v>
      </c>
      <c r="E8">
        <v>18</v>
      </c>
      <c r="F8" s="674">
        <f t="shared" si="2"/>
        <v>180</v>
      </c>
      <c r="G8" s="666">
        <v>56</v>
      </c>
      <c r="H8" s="667">
        <f t="shared" si="0"/>
        <v>1008</v>
      </c>
      <c r="I8" s="666">
        <v>39</v>
      </c>
      <c r="J8" s="667">
        <f t="shared" si="1"/>
        <v>702</v>
      </c>
      <c r="K8" s="671">
        <v>50</v>
      </c>
      <c r="L8" s="667">
        <f t="shared" si="3"/>
        <v>900</v>
      </c>
      <c r="M8" s="666">
        <v>39</v>
      </c>
      <c r="N8" s="667">
        <f t="shared" si="3"/>
        <v>702</v>
      </c>
      <c r="O8">
        <v>180</v>
      </c>
    </row>
    <row r="9" spans="2:16" x14ac:dyDescent="0.2">
      <c r="D9" s="588" t="s">
        <v>2125</v>
      </c>
      <c r="E9">
        <v>18</v>
      </c>
      <c r="F9" s="588">
        <f t="shared" si="2"/>
        <v>180</v>
      </c>
      <c r="G9" s="666">
        <v>34</v>
      </c>
      <c r="H9" s="667">
        <f t="shared" si="0"/>
        <v>612</v>
      </c>
      <c r="I9" s="670">
        <v>28</v>
      </c>
      <c r="J9" s="667">
        <f t="shared" si="1"/>
        <v>504</v>
      </c>
      <c r="K9" s="670">
        <v>28</v>
      </c>
      <c r="L9" s="667">
        <f t="shared" si="3"/>
        <v>504</v>
      </c>
      <c r="M9" s="670">
        <v>28</v>
      </c>
      <c r="N9" s="667">
        <f t="shared" si="3"/>
        <v>504</v>
      </c>
      <c r="O9" t="s">
        <v>898</v>
      </c>
    </row>
    <row r="10" spans="2:16" x14ac:dyDescent="0.2">
      <c r="D10" s="588" t="s">
        <v>2110</v>
      </c>
      <c r="E10">
        <v>20</v>
      </c>
      <c r="F10" s="588">
        <f t="shared" si="2"/>
        <v>200</v>
      </c>
      <c r="G10" s="666">
        <v>10</v>
      </c>
      <c r="H10" s="667">
        <f t="shared" si="0"/>
        <v>200</v>
      </c>
      <c r="I10" s="670">
        <v>10</v>
      </c>
      <c r="J10" s="667">
        <f t="shared" si="1"/>
        <v>200</v>
      </c>
      <c r="K10" s="666">
        <v>8</v>
      </c>
      <c r="L10" s="667">
        <f t="shared" si="3"/>
        <v>160</v>
      </c>
      <c r="M10" s="670">
        <v>10</v>
      </c>
      <c r="N10" s="667">
        <f t="shared" si="3"/>
        <v>200</v>
      </c>
    </row>
    <row r="11" spans="2:16" x14ac:dyDescent="0.2">
      <c r="D11" s="588" t="s">
        <v>2111</v>
      </c>
      <c r="E11">
        <v>20</v>
      </c>
      <c r="F11" s="588">
        <f t="shared" si="2"/>
        <v>200</v>
      </c>
      <c r="G11" s="666">
        <v>35</v>
      </c>
      <c r="H11" s="667">
        <f t="shared" si="0"/>
        <v>700</v>
      </c>
      <c r="I11" s="670">
        <v>35</v>
      </c>
      <c r="J11" s="667">
        <f t="shared" si="1"/>
        <v>700</v>
      </c>
      <c r="K11" s="666">
        <v>31</v>
      </c>
      <c r="L11" s="667">
        <f t="shared" si="3"/>
        <v>620</v>
      </c>
      <c r="M11" s="670">
        <v>35</v>
      </c>
      <c r="N11" s="667">
        <f t="shared" si="3"/>
        <v>700</v>
      </c>
    </row>
    <row r="12" spans="2:16" x14ac:dyDescent="0.2">
      <c r="D12" t="s">
        <v>566</v>
      </c>
      <c r="E12">
        <v>100</v>
      </c>
      <c r="F12" s="674">
        <f t="shared" si="2"/>
        <v>1000</v>
      </c>
      <c r="G12" s="666">
        <v>2</v>
      </c>
      <c r="H12" s="667">
        <f t="shared" si="0"/>
        <v>200</v>
      </c>
      <c r="I12" s="671">
        <v>3</v>
      </c>
      <c r="J12" s="667">
        <f t="shared" si="1"/>
        <v>300</v>
      </c>
      <c r="K12" s="671">
        <v>3</v>
      </c>
      <c r="L12" s="667">
        <f t="shared" si="3"/>
        <v>300</v>
      </c>
      <c r="M12" s="670">
        <v>3</v>
      </c>
      <c r="N12" s="667">
        <f t="shared" si="3"/>
        <v>300</v>
      </c>
      <c r="O12">
        <v>1000</v>
      </c>
    </row>
    <row r="13" spans="2:16" x14ac:dyDescent="0.2">
      <c r="D13" t="s">
        <v>568</v>
      </c>
      <c r="E13">
        <v>10</v>
      </c>
      <c r="F13" s="674">
        <f t="shared" si="2"/>
        <v>100</v>
      </c>
      <c r="G13" s="666">
        <v>40</v>
      </c>
      <c r="H13" s="667">
        <f t="shared" si="0"/>
        <v>400</v>
      </c>
      <c r="I13" s="666">
        <v>31</v>
      </c>
      <c r="J13" s="667">
        <f t="shared" si="1"/>
        <v>310</v>
      </c>
      <c r="K13" s="671">
        <v>32</v>
      </c>
      <c r="L13" s="667">
        <f t="shared" si="3"/>
        <v>320</v>
      </c>
      <c r="M13" s="666">
        <v>31</v>
      </c>
      <c r="N13" s="667">
        <f t="shared" si="3"/>
        <v>310</v>
      </c>
      <c r="O13">
        <v>100</v>
      </c>
    </row>
    <row r="14" spans="2:16" x14ac:dyDescent="0.2">
      <c r="D14" s="588" t="s">
        <v>2113</v>
      </c>
      <c r="E14">
        <v>3</v>
      </c>
      <c r="F14" s="588">
        <f t="shared" si="2"/>
        <v>30</v>
      </c>
      <c r="G14" s="666">
        <v>200</v>
      </c>
      <c r="H14" s="667">
        <f t="shared" si="0"/>
        <v>600</v>
      </c>
      <c r="I14" s="670">
        <v>200</v>
      </c>
      <c r="J14" s="667">
        <f t="shared" si="1"/>
        <v>600</v>
      </c>
      <c r="K14" s="666">
        <v>200</v>
      </c>
      <c r="L14" s="667">
        <f t="shared" si="3"/>
        <v>600</v>
      </c>
      <c r="M14" s="670">
        <v>200</v>
      </c>
      <c r="N14" s="667">
        <f t="shared" si="3"/>
        <v>600</v>
      </c>
    </row>
    <row r="15" spans="2:16" x14ac:dyDescent="0.2">
      <c r="D15" s="588" t="s">
        <v>2114</v>
      </c>
      <c r="E15">
        <v>20</v>
      </c>
      <c r="F15" s="588">
        <f t="shared" si="2"/>
        <v>200</v>
      </c>
      <c r="G15" s="666">
        <v>6</v>
      </c>
      <c r="H15" s="667">
        <f t="shared" si="0"/>
        <v>120</v>
      </c>
      <c r="I15" s="670">
        <v>6</v>
      </c>
      <c r="J15" s="667">
        <f t="shared" si="1"/>
        <v>120</v>
      </c>
      <c r="K15" s="666">
        <v>6</v>
      </c>
      <c r="L15" s="667">
        <f t="shared" si="3"/>
        <v>120</v>
      </c>
      <c r="M15" s="670">
        <v>6</v>
      </c>
      <c r="N15" s="667">
        <f t="shared" si="3"/>
        <v>120</v>
      </c>
    </row>
    <row r="16" spans="2:16" x14ac:dyDescent="0.2">
      <c r="D16" s="663" t="s">
        <v>567</v>
      </c>
      <c r="E16">
        <v>13</v>
      </c>
      <c r="F16" s="588">
        <f t="shared" si="2"/>
        <v>130</v>
      </c>
      <c r="G16" s="666"/>
      <c r="H16" s="667">
        <f t="shared" si="0"/>
        <v>0</v>
      </c>
      <c r="I16" s="666"/>
      <c r="J16" s="667">
        <f t="shared" si="1"/>
        <v>0</v>
      </c>
      <c r="K16" s="666"/>
      <c r="L16" s="667">
        <f t="shared" si="3"/>
        <v>0</v>
      </c>
      <c r="M16" s="666"/>
      <c r="N16" s="667">
        <f t="shared" si="3"/>
        <v>0</v>
      </c>
    </row>
    <row r="17" spans="4:14" x14ac:dyDescent="0.2">
      <c r="D17" t="s">
        <v>569</v>
      </c>
      <c r="E17">
        <v>10</v>
      </c>
      <c r="F17" s="588">
        <f t="shared" si="2"/>
        <v>100</v>
      </c>
      <c r="G17" s="666">
        <v>400</v>
      </c>
      <c r="H17" s="667">
        <f t="shared" si="0"/>
        <v>4000</v>
      </c>
      <c r="I17" s="666">
        <v>400</v>
      </c>
      <c r="J17" s="667">
        <f t="shared" si="1"/>
        <v>4000</v>
      </c>
      <c r="K17" s="671">
        <v>400</v>
      </c>
      <c r="L17" s="667">
        <f t="shared" si="3"/>
        <v>4000</v>
      </c>
      <c r="M17" s="666">
        <v>400</v>
      </c>
      <c r="N17" s="667">
        <f t="shared" si="3"/>
        <v>4000</v>
      </c>
    </row>
    <row r="18" spans="4:14" x14ac:dyDescent="0.2">
      <c r="D18" s="588" t="s">
        <v>2116</v>
      </c>
      <c r="G18" s="668"/>
      <c r="H18" s="669">
        <f>SUM(H5:H17)</f>
        <v>19669</v>
      </c>
      <c r="I18" s="668"/>
      <c r="J18" s="669">
        <f>SUM(J5:J17)</f>
        <v>15638</v>
      </c>
      <c r="K18" s="668"/>
      <c r="L18" s="669">
        <f>SUM(L5:L17)</f>
        <v>17971.5</v>
      </c>
      <c r="M18" s="668"/>
      <c r="N18" s="669">
        <f>SUM(N5:N17)</f>
        <v>14657</v>
      </c>
    </row>
    <row r="20" spans="4:14" x14ac:dyDescent="0.2">
      <c r="D20" s="588" t="s">
        <v>2118</v>
      </c>
    </row>
    <row r="21" spans="4:14" x14ac:dyDescent="0.2">
      <c r="D21" s="588" t="s">
        <v>2124</v>
      </c>
      <c r="F21" s="588">
        <v>20</v>
      </c>
    </row>
    <row r="22" spans="4:14" x14ac:dyDescent="0.2">
      <c r="G22" t="s">
        <v>611</v>
      </c>
      <c r="H22" t="s">
        <v>2044</v>
      </c>
      <c r="I22" t="s">
        <v>1413</v>
      </c>
      <c r="J22" t="s">
        <v>2155</v>
      </c>
    </row>
    <row r="23" spans="4:14" x14ac:dyDescent="0.2">
      <c r="D23" s="672"/>
      <c r="F23" t="s">
        <v>58</v>
      </c>
      <c r="G23">
        <v>75</v>
      </c>
      <c r="H23">
        <v>390</v>
      </c>
      <c r="I23">
        <f>G23*H23</f>
        <v>29250</v>
      </c>
      <c r="J23" s="82">
        <f>ROUNDUP(G23/2.4,0)</f>
        <v>32</v>
      </c>
    </row>
    <row r="24" spans="4:14" x14ac:dyDescent="0.2">
      <c r="D24" s="673" t="s">
        <v>2126</v>
      </c>
      <c r="F24" t="s">
        <v>2156</v>
      </c>
      <c r="G24">
        <v>20</v>
      </c>
      <c r="H24">
        <v>713</v>
      </c>
      <c r="I24">
        <f>G24*H24</f>
        <v>14260</v>
      </c>
      <c r="J24" s="82">
        <f>ROUNDUP(G24/2.4,0)</f>
        <v>9</v>
      </c>
    </row>
    <row r="25" spans="4:14" x14ac:dyDescent="0.2">
      <c r="D25" s="673" t="s">
        <v>2127</v>
      </c>
      <c r="I25">
        <f>SUM(I23:I24)</f>
        <v>43510</v>
      </c>
    </row>
    <row r="26" spans="4:14" x14ac:dyDescent="0.2">
      <c r="D26" s="673" t="s">
        <v>2128</v>
      </c>
    </row>
    <row r="27" spans="4:14" x14ac:dyDescent="0.2">
      <c r="D27" s="673" t="s">
        <v>2129</v>
      </c>
    </row>
    <row r="28" spans="4:14" x14ac:dyDescent="0.2">
      <c r="D28" s="673" t="s">
        <v>2130</v>
      </c>
    </row>
    <row r="29" spans="4:14" x14ac:dyDescent="0.2">
      <c r="D29" s="673" t="s">
        <v>2131</v>
      </c>
    </row>
    <row r="30" spans="4:14" x14ac:dyDescent="0.2">
      <c r="D30" s="673" t="s">
        <v>2132</v>
      </c>
    </row>
    <row r="31" spans="4:14" ht="22.5" x14ac:dyDescent="0.2">
      <c r="D31" s="673" t="s">
        <v>2133</v>
      </c>
    </row>
    <row r="32" spans="4:14" x14ac:dyDescent="0.2">
      <c r="D32" s="673" t="s">
        <v>2134</v>
      </c>
    </row>
    <row r="33" spans="4:4" x14ac:dyDescent="0.2">
      <c r="D33" s="673" t="s">
        <v>2135</v>
      </c>
    </row>
    <row r="34" spans="4:4" x14ac:dyDescent="0.2">
      <c r="D34" s="673" t="s">
        <v>2136</v>
      </c>
    </row>
    <row r="35" spans="4:4" x14ac:dyDescent="0.2">
      <c r="D35" s="673" t="s">
        <v>2137</v>
      </c>
    </row>
    <row r="36" spans="4:4" x14ac:dyDescent="0.2">
      <c r="D36" s="673" t="s">
        <v>2138</v>
      </c>
    </row>
    <row r="37" spans="4:4" ht="22.5" x14ac:dyDescent="0.2">
      <c r="D37" s="673" t="s">
        <v>2139</v>
      </c>
    </row>
    <row r="38" spans="4:4" x14ac:dyDescent="0.2">
      <c r="D38" s="673" t="s">
        <v>2140</v>
      </c>
    </row>
  </sheetData>
  <phoneticPr fontId="28" type="noConversion"/>
  <pageMargins left="0.75" right="0.75" top="1" bottom="1" header="0.5" footer="0.5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Munka10"/>
  <dimension ref="B2:I58"/>
  <sheetViews>
    <sheetView topLeftCell="A22" workbookViewId="0">
      <selection activeCell="E57" sqref="E57"/>
    </sheetView>
  </sheetViews>
  <sheetFormatPr defaultRowHeight="12.75" x14ac:dyDescent="0.2"/>
  <cols>
    <col min="1" max="1" width="9.140625" style="105"/>
    <col min="2" max="2" width="24.7109375" style="105" customWidth="1"/>
    <col min="3" max="3" width="5.42578125" style="105" customWidth="1"/>
    <col min="4" max="4" width="9.140625" style="105"/>
    <col min="5" max="5" width="11.28515625" style="105" customWidth="1"/>
    <col min="6" max="6" width="9.85546875" style="105" bestFit="1" customWidth="1"/>
    <col min="7" max="16384" width="9.140625" style="105"/>
  </cols>
  <sheetData>
    <row r="2" spans="2:5" x14ac:dyDescent="0.2">
      <c r="B2" s="105" t="s">
        <v>1456</v>
      </c>
      <c r="C2" s="105" t="s">
        <v>642</v>
      </c>
      <c r="D2" s="105" t="s">
        <v>1413</v>
      </c>
      <c r="E2" s="105" t="s">
        <v>1531</v>
      </c>
    </row>
    <row r="3" spans="2:5" x14ac:dyDescent="0.2">
      <c r="B3" s="105" t="s">
        <v>1530</v>
      </c>
      <c r="C3" s="105">
        <v>4</v>
      </c>
      <c r="D3" s="105">
        <v>4627</v>
      </c>
      <c r="E3" s="105">
        <f t="shared" ref="E3:E10" si="0">C3*D3</f>
        <v>18508</v>
      </c>
    </row>
    <row r="4" spans="2:5" x14ac:dyDescent="0.2">
      <c r="B4" s="105" t="s">
        <v>772</v>
      </c>
      <c r="C4" s="105">
        <v>1</v>
      </c>
      <c r="D4" s="105">
        <v>8625</v>
      </c>
      <c r="E4" s="105">
        <f t="shared" si="0"/>
        <v>8625</v>
      </c>
    </row>
    <row r="5" spans="2:5" x14ac:dyDescent="0.2">
      <c r="B5" s="105" t="s">
        <v>1537</v>
      </c>
      <c r="C5" s="105">
        <v>1</v>
      </c>
      <c r="D5" s="105">
        <v>2500</v>
      </c>
      <c r="E5" s="105">
        <f t="shared" si="0"/>
        <v>2500</v>
      </c>
    </row>
    <row r="6" spans="2:5" x14ac:dyDescent="0.2">
      <c r="B6" s="105" t="s">
        <v>1532</v>
      </c>
      <c r="C6" s="105">
        <v>1</v>
      </c>
      <c r="D6" s="105">
        <v>17888</v>
      </c>
      <c r="E6" s="105">
        <f t="shared" si="0"/>
        <v>17888</v>
      </c>
    </row>
    <row r="7" spans="2:5" x14ac:dyDescent="0.2">
      <c r="B7" s="105" t="s">
        <v>1533</v>
      </c>
      <c r="C7" s="105">
        <v>1</v>
      </c>
      <c r="D7" s="105">
        <v>6240</v>
      </c>
      <c r="E7" s="105">
        <f t="shared" si="0"/>
        <v>6240</v>
      </c>
    </row>
    <row r="8" spans="2:5" x14ac:dyDescent="0.2">
      <c r="B8" s="105" t="s">
        <v>1534</v>
      </c>
      <c r="C8" s="105">
        <v>1</v>
      </c>
      <c r="D8" s="105">
        <v>9647</v>
      </c>
      <c r="E8" s="105">
        <f t="shared" si="0"/>
        <v>9647</v>
      </c>
    </row>
    <row r="9" spans="2:5" x14ac:dyDescent="0.2">
      <c r="B9" s="105" t="s">
        <v>1535</v>
      </c>
      <c r="C9" s="105">
        <v>3</v>
      </c>
      <c r="D9" s="105">
        <v>839</v>
      </c>
      <c r="E9" s="105">
        <f t="shared" si="0"/>
        <v>2517</v>
      </c>
    </row>
    <row r="10" spans="2:5" x14ac:dyDescent="0.2">
      <c r="B10" s="105" t="s">
        <v>1536</v>
      </c>
      <c r="C10" s="105">
        <v>3</v>
      </c>
      <c r="D10" s="105">
        <v>1100</v>
      </c>
      <c r="E10" s="105">
        <f t="shared" si="0"/>
        <v>3300</v>
      </c>
    </row>
    <row r="11" spans="2:5" x14ac:dyDescent="0.2">
      <c r="B11" s="105" t="s">
        <v>1538</v>
      </c>
      <c r="C11" s="105">
        <v>1</v>
      </c>
      <c r="D11" s="105">
        <v>4627</v>
      </c>
      <c r="E11" s="105">
        <f>C11*D11</f>
        <v>4627</v>
      </c>
    </row>
    <row r="12" spans="2:5" x14ac:dyDescent="0.2">
      <c r="B12" s="105" t="s">
        <v>1539</v>
      </c>
      <c r="C12" s="105">
        <v>3</v>
      </c>
      <c r="D12" s="105">
        <v>7512</v>
      </c>
      <c r="E12" s="105">
        <f>C12*D12</f>
        <v>22536</v>
      </c>
    </row>
    <row r="13" spans="2:5" x14ac:dyDescent="0.2">
      <c r="E13" s="429">
        <f>SUM(E3:E12)</f>
        <v>96388</v>
      </c>
    </row>
    <row r="17" spans="2:5" x14ac:dyDescent="0.2">
      <c r="B17" s="105" t="s">
        <v>1456</v>
      </c>
      <c r="C17" s="105" t="s">
        <v>642</v>
      </c>
      <c r="D17" s="105" t="s">
        <v>1413</v>
      </c>
      <c r="E17" s="105" t="s">
        <v>1531</v>
      </c>
    </row>
    <row r="18" spans="2:5" x14ac:dyDescent="0.2">
      <c r="B18" s="105" t="s">
        <v>1530</v>
      </c>
      <c r="C18" s="105">
        <v>5</v>
      </c>
      <c r="D18" s="105">
        <v>72.5</v>
      </c>
      <c r="E18" s="105">
        <f t="shared" ref="E18:E25" si="1">C18*D18</f>
        <v>362.5</v>
      </c>
    </row>
    <row r="19" spans="2:5" x14ac:dyDescent="0.2">
      <c r="B19" s="105" t="s">
        <v>460</v>
      </c>
      <c r="C19" s="105">
        <v>1</v>
      </c>
      <c r="D19" s="105">
        <v>60</v>
      </c>
      <c r="E19" s="105">
        <f>C19*D19</f>
        <v>60</v>
      </c>
    </row>
    <row r="20" spans="2:5" x14ac:dyDescent="0.2">
      <c r="B20" s="105" t="s">
        <v>772</v>
      </c>
      <c r="C20" s="105">
        <v>1</v>
      </c>
      <c r="D20" s="105">
        <v>108</v>
      </c>
      <c r="E20" s="105">
        <f t="shared" si="1"/>
        <v>108</v>
      </c>
    </row>
    <row r="21" spans="2:5" x14ac:dyDescent="0.2">
      <c r="B21" s="105" t="s">
        <v>1532</v>
      </c>
      <c r="C21" s="105">
        <v>1</v>
      </c>
      <c r="D21" s="105">
        <v>165</v>
      </c>
      <c r="E21" s="105">
        <f t="shared" si="1"/>
        <v>165</v>
      </c>
    </row>
    <row r="22" spans="2:5" x14ac:dyDescent="0.2">
      <c r="B22" s="105" t="s">
        <v>1533</v>
      </c>
      <c r="C22" s="105">
        <v>1</v>
      </c>
      <c r="D22" s="105">
        <v>58</v>
      </c>
      <c r="E22" s="105">
        <f t="shared" si="1"/>
        <v>58</v>
      </c>
    </row>
    <row r="23" spans="2:5" x14ac:dyDescent="0.2">
      <c r="B23" s="105" t="s">
        <v>1534</v>
      </c>
      <c r="C23" s="105">
        <v>1</v>
      </c>
      <c r="D23" s="105">
        <v>56</v>
      </c>
      <c r="E23" s="105">
        <f t="shared" si="1"/>
        <v>56</v>
      </c>
    </row>
    <row r="24" spans="2:5" x14ac:dyDescent="0.2">
      <c r="B24" s="105" t="s">
        <v>1535</v>
      </c>
      <c r="C24" s="105">
        <v>3</v>
      </c>
      <c r="D24" s="105">
        <v>9</v>
      </c>
      <c r="E24" s="105">
        <f t="shared" si="1"/>
        <v>27</v>
      </c>
    </row>
    <row r="25" spans="2:5" x14ac:dyDescent="0.2">
      <c r="B25" s="105" t="s">
        <v>1536</v>
      </c>
      <c r="C25" s="105">
        <v>3</v>
      </c>
      <c r="D25" s="105">
        <v>24</v>
      </c>
      <c r="E25" s="105">
        <f t="shared" si="1"/>
        <v>72</v>
      </c>
    </row>
    <row r="26" spans="2:5" x14ac:dyDescent="0.2">
      <c r="E26" s="429">
        <f>SUM(E18:E25)</f>
        <v>908.5</v>
      </c>
    </row>
    <row r="27" spans="2:5" ht="13.5" thickBot="1" x14ac:dyDescent="0.25"/>
    <row r="28" spans="2:5" x14ac:dyDescent="0.2">
      <c r="B28" s="508" t="s">
        <v>254</v>
      </c>
      <c r="C28" s="111" t="s">
        <v>642</v>
      </c>
      <c r="D28" s="111"/>
      <c r="E28" s="430"/>
    </row>
    <row r="29" spans="2:5" ht="51" x14ac:dyDescent="0.2">
      <c r="B29" s="109" t="s">
        <v>1847</v>
      </c>
      <c r="C29" s="112">
        <v>6</v>
      </c>
      <c r="D29" s="112">
        <v>22000</v>
      </c>
      <c r="E29" s="431">
        <f>C29*D29</f>
        <v>132000</v>
      </c>
    </row>
    <row r="30" spans="2:5" x14ac:dyDescent="0.2">
      <c r="B30" s="109" t="s">
        <v>1845</v>
      </c>
      <c r="C30" s="112">
        <v>1</v>
      </c>
      <c r="D30" s="112">
        <v>5000</v>
      </c>
      <c r="E30" s="431">
        <f>C30*D30</f>
        <v>5000</v>
      </c>
    </row>
    <row r="31" spans="2:5" x14ac:dyDescent="0.2">
      <c r="B31" s="109" t="s">
        <v>1846</v>
      </c>
      <c r="C31" s="112">
        <v>1</v>
      </c>
      <c r="D31" s="112">
        <v>5000</v>
      </c>
      <c r="E31" s="431">
        <f>C31*D31</f>
        <v>5000</v>
      </c>
    </row>
    <row r="32" spans="2:5" x14ac:dyDescent="0.2">
      <c r="B32" s="109" t="s">
        <v>1848</v>
      </c>
      <c r="C32" s="112">
        <v>1</v>
      </c>
      <c r="D32" s="112">
        <v>10000</v>
      </c>
      <c r="E32" s="431">
        <f>C32*D32</f>
        <v>10000</v>
      </c>
    </row>
    <row r="33" spans="2:9" x14ac:dyDescent="0.2">
      <c r="B33" s="109" t="s">
        <v>1849</v>
      </c>
      <c r="C33" s="112">
        <v>1</v>
      </c>
      <c r="D33" s="112">
        <v>15000</v>
      </c>
      <c r="E33" s="431">
        <f>C33*D33</f>
        <v>15000</v>
      </c>
    </row>
    <row r="34" spans="2:9" ht="13.5" thickBot="1" x14ac:dyDescent="0.25">
      <c r="B34" s="110"/>
      <c r="C34" s="113"/>
      <c r="D34" s="113"/>
      <c r="E34" s="432">
        <f>SUM(E29:E33)</f>
        <v>167000</v>
      </c>
    </row>
    <row r="35" spans="2:9" ht="13.5" thickBot="1" x14ac:dyDescent="0.25"/>
    <row r="36" spans="2:9" x14ac:dyDescent="0.2">
      <c r="B36" s="508" t="s">
        <v>1793</v>
      </c>
      <c r="C36" s="111"/>
      <c r="D36" s="111"/>
      <c r="E36" s="430"/>
      <c r="F36" s="112"/>
    </row>
    <row r="37" spans="2:9" x14ac:dyDescent="0.2">
      <c r="B37" s="509" t="s">
        <v>1804</v>
      </c>
      <c r="C37" s="510" t="s">
        <v>642</v>
      </c>
      <c r="D37" s="510" t="s">
        <v>1412</v>
      </c>
      <c r="E37" s="511" t="s">
        <v>1413</v>
      </c>
      <c r="F37" s="510"/>
    </row>
    <row r="38" spans="2:9" x14ac:dyDescent="0.2">
      <c r="B38" s="514" t="s">
        <v>1794</v>
      </c>
      <c r="C38" s="515">
        <v>2</v>
      </c>
      <c r="D38" s="516">
        <v>5713</v>
      </c>
      <c r="E38" s="516">
        <f t="shared" ref="E38:E44" si="2">C38*D38</f>
        <v>11426</v>
      </c>
      <c r="F38" s="517">
        <f>E38*1.25</f>
        <v>14282.5</v>
      </c>
      <c r="I38" s="105">
        <v>14283</v>
      </c>
    </row>
    <row r="39" spans="2:9" x14ac:dyDescent="0.2">
      <c r="B39" s="514" t="s">
        <v>1795</v>
      </c>
      <c r="C39" s="515">
        <v>1</v>
      </c>
      <c r="D39" s="516">
        <v>3756</v>
      </c>
      <c r="E39" s="516">
        <f t="shared" si="2"/>
        <v>3756</v>
      </c>
      <c r="F39" s="517">
        <f t="shared" ref="F39:F57" si="3">E39*1.25</f>
        <v>4695</v>
      </c>
      <c r="I39" s="105">
        <v>4695</v>
      </c>
    </row>
    <row r="40" spans="2:9" x14ac:dyDescent="0.2">
      <c r="B40" s="514" t="s">
        <v>1800</v>
      </c>
      <c r="C40" s="515">
        <v>1</v>
      </c>
      <c r="D40" s="516">
        <v>2122</v>
      </c>
      <c r="E40" s="516">
        <f t="shared" si="2"/>
        <v>2122</v>
      </c>
      <c r="F40" s="517">
        <f t="shared" si="3"/>
        <v>2652.5</v>
      </c>
      <c r="I40" s="105">
        <v>2653</v>
      </c>
    </row>
    <row r="41" spans="2:9" x14ac:dyDescent="0.2">
      <c r="B41" s="514" t="s">
        <v>1533</v>
      </c>
      <c r="C41" s="515">
        <v>1</v>
      </c>
      <c r="D41" s="516">
        <v>7108</v>
      </c>
      <c r="E41" s="516">
        <f t="shared" si="2"/>
        <v>7108</v>
      </c>
      <c r="F41" s="517">
        <f t="shared" si="3"/>
        <v>8885</v>
      </c>
      <c r="I41" s="105">
        <v>8885</v>
      </c>
    </row>
    <row r="42" spans="2:9" x14ac:dyDescent="0.2">
      <c r="B42" s="514" t="s">
        <v>772</v>
      </c>
      <c r="C42" s="515">
        <v>1</v>
      </c>
      <c r="D42" s="516">
        <v>5061</v>
      </c>
      <c r="E42" s="516">
        <f t="shared" si="2"/>
        <v>5061</v>
      </c>
      <c r="F42" s="517">
        <f t="shared" si="3"/>
        <v>6326.25</v>
      </c>
      <c r="I42" s="105">
        <v>6326</v>
      </c>
    </row>
    <row r="43" spans="2:9" x14ac:dyDescent="0.2">
      <c r="B43" s="514" t="s">
        <v>1532</v>
      </c>
      <c r="C43" s="515">
        <v>1</v>
      </c>
      <c r="D43" s="516">
        <v>7776</v>
      </c>
      <c r="E43" s="516">
        <f t="shared" si="2"/>
        <v>7776</v>
      </c>
      <c r="F43" s="517">
        <f t="shared" si="3"/>
        <v>9720</v>
      </c>
      <c r="I43" s="105">
        <v>9720</v>
      </c>
    </row>
    <row r="44" spans="2:9" x14ac:dyDescent="0.2">
      <c r="B44" s="514" t="s">
        <v>1807</v>
      </c>
      <c r="C44" s="515">
        <v>2</v>
      </c>
      <c r="D44" s="516">
        <v>2430</v>
      </c>
      <c r="E44" s="516">
        <f t="shared" si="2"/>
        <v>4860</v>
      </c>
      <c r="F44" s="517">
        <f t="shared" si="3"/>
        <v>6075</v>
      </c>
      <c r="I44" s="105">
        <v>6075</v>
      </c>
    </row>
    <row r="45" spans="2:9" x14ac:dyDescent="0.2">
      <c r="B45" s="514" t="s">
        <v>784</v>
      </c>
      <c r="C45" s="515">
        <v>7</v>
      </c>
      <c r="D45" s="516">
        <v>1434</v>
      </c>
      <c r="E45" s="516">
        <f>C45*D45</f>
        <v>10038</v>
      </c>
      <c r="F45" s="517">
        <f t="shared" si="3"/>
        <v>12547.5</v>
      </c>
      <c r="I45" s="105">
        <v>12548</v>
      </c>
    </row>
    <row r="46" spans="2:9" x14ac:dyDescent="0.2">
      <c r="B46" s="514" t="s">
        <v>1802</v>
      </c>
      <c r="C46" s="515"/>
      <c r="D46" s="516"/>
      <c r="E46" s="516"/>
      <c r="F46" s="517"/>
    </row>
    <row r="47" spans="2:9" x14ac:dyDescent="0.2">
      <c r="B47" s="514"/>
      <c r="C47" s="515"/>
      <c r="D47" s="516"/>
      <c r="E47" s="516"/>
      <c r="F47" s="517"/>
    </row>
    <row r="48" spans="2:9" x14ac:dyDescent="0.2">
      <c r="B48" s="514" t="s">
        <v>1803</v>
      </c>
      <c r="C48" s="515"/>
      <c r="D48" s="516"/>
      <c r="E48" s="516"/>
      <c r="F48" s="517"/>
    </row>
    <row r="49" spans="2:9" x14ac:dyDescent="0.2">
      <c r="B49" s="514" t="s">
        <v>1796</v>
      </c>
      <c r="C49" s="515">
        <v>1</v>
      </c>
      <c r="D49" s="516">
        <v>5300</v>
      </c>
      <c r="E49" s="516">
        <f t="shared" ref="E49:E54" si="4">C49*D49</f>
        <v>5300</v>
      </c>
      <c r="F49" s="517">
        <f t="shared" si="3"/>
        <v>6625</v>
      </c>
      <c r="I49" s="105">
        <v>6625</v>
      </c>
    </row>
    <row r="50" spans="2:9" x14ac:dyDescent="0.2">
      <c r="B50" s="514" t="s">
        <v>1797</v>
      </c>
      <c r="C50" s="515">
        <v>2</v>
      </c>
      <c r="D50" s="516">
        <v>15773</v>
      </c>
      <c r="E50" s="516">
        <f t="shared" si="4"/>
        <v>31546</v>
      </c>
      <c r="F50" s="517">
        <f t="shared" si="3"/>
        <v>39432.5</v>
      </c>
      <c r="I50" s="105">
        <v>39433</v>
      </c>
    </row>
    <row r="51" spans="2:9" x14ac:dyDescent="0.2">
      <c r="B51" s="514" t="s">
        <v>1798</v>
      </c>
      <c r="C51" s="515">
        <v>2</v>
      </c>
      <c r="D51" s="516">
        <v>9056</v>
      </c>
      <c r="E51" s="516">
        <f t="shared" si="4"/>
        <v>18112</v>
      </c>
      <c r="F51" s="517">
        <f t="shared" si="3"/>
        <v>22640</v>
      </c>
      <c r="I51" s="105">
        <v>22640</v>
      </c>
    </row>
    <row r="52" spans="2:9" x14ac:dyDescent="0.2">
      <c r="B52" s="514" t="s">
        <v>1799</v>
      </c>
      <c r="C52" s="515">
        <v>0</v>
      </c>
      <c r="D52" s="516">
        <v>6877</v>
      </c>
      <c r="E52" s="516">
        <f t="shared" si="4"/>
        <v>0</v>
      </c>
      <c r="F52" s="517">
        <f t="shared" si="3"/>
        <v>0</v>
      </c>
    </row>
    <row r="53" spans="2:9" x14ac:dyDescent="0.2">
      <c r="B53" s="514" t="s">
        <v>1808</v>
      </c>
      <c r="C53" s="515">
        <v>2</v>
      </c>
      <c r="D53" s="516">
        <v>9805</v>
      </c>
      <c r="E53" s="516">
        <f t="shared" si="4"/>
        <v>19610</v>
      </c>
      <c r="F53" s="517">
        <f t="shared" si="3"/>
        <v>24512.5</v>
      </c>
      <c r="I53" s="105">
        <v>24513</v>
      </c>
    </row>
    <row r="54" spans="2:9" x14ac:dyDescent="0.2">
      <c r="B54" s="514" t="s">
        <v>1809</v>
      </c>
      <c r="C54" s="515">
        <v>1</v>
      </c>
      <c r="D54" s="516">
        <v>7462</v>
      </c>
      <c r="E54" s="516">
        <f t="shared" si="4"/>
        <v>7462</v>
      </c>
      <c r="F54" s="517">
        <f t="shared" si="3"/>
        <v>9327.5</v>
      </c>
      <c r="I54" s="105">
        <v>9328</v>
      </c>
    </row>
    <row r="55" spans="2:9" x14ac:dyDescent="0.2">
      <c r="B55" s="514" t="s">
        <v>1806</v>
      </c>
      <c r="C55" s="515">
        <v>2</v>
      </c>
      <c r="D55" s="516">
        <v>3279</v>
      </c>
      <c r="E55" s="516">
        <f>C55*D55</f>
        <v>6558</v>
      </c>
      <c r="F55" s="517">
        <f t="shared" si="3"/>
        <v>8197.5</v>
      </c>
      <c r="I55" s="105">
        <v>8198</v>
      </c>
    </row>
    <row r="56" spans="2:9" x14ac:dyDescent="0.2">
      <c r="B56" s="514" t="s">
        <v>784</v>
      </c>
      <c r="C56" s="515">
        <v>7</v>
      </c>
      <c r="D56" s="516">
        <v>1090</v>
      </c>
      <c r="E56" s="516">
        <f>C56*D56</f>
        <v>7630</v>
      </c>
      <c r="F56" s="517">
        <f t="shared" si="3"/>
        <v>9537.5</v>
      </c>
      <c r="I56" s="105">
        <v>9538</v>
      </c>
    </row>
    <row r="57" spans="2:9" ht="13.5" thickBot="1" x14ac:dyDescent="0.25">
      <c r="B57" s="110" t="s">
        <v>1805</v>
      </c>
      <c r="C57" s="113"/>
      <c r="D57" s="512"/>
      <c r="E57" s="513">
        <f>SUM(E38:E56)</f>
        <v>148365</v>
      </c>
      <c r="F57" s="517">
        <f t="shared" si="3"/>
        <v>185456.25</v>
      </c>
      <c r="I57" s="105">
        <f>SUM(I38:I56)</f>
        <v>185460</v>
      </c>
    </row>
    <row r="58" spans="2:9" x14ac:dyDescent="0.2">
      <c r="E58" s="518"/>
      <c r="F58" s="518"/>
      <c r="I58" s="105">
        <f>I57/1.25</f>
        <v>148368</v>
      </c>
    </row>
  </sheetData>
  <phoneticPr fontId="28" type="noConversion"/>
  <pageMargins left="0.75" right="0.75" top="1" bottom="1" header="0.5" footer="0.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Munka19"/>
  <dimension ref="B2:G56"/>
  <sheetViews>
    <sheetView workbookViewId="0">
      <selection activeCell="B7" sqref="B7"/>
    </sheetView>
  </sheetViews>
  <sheetFormatPr defaultRowHeight="12.75" x14ac:dyDescent="0.2"/>
  <cols>
    <col min="1" max="1" width="5" customWidth="1"/>
    <col min="2" max="2" width="68.5703125" customWidth="1"/>
    <col min="4" max="4" width="12.42578125" bestFit="1" customWidth="1"/>
    <col min="5" max="5" width="13.42578125" style="358" customWidth="1"/>
    <col min="6" max="6" width="37.28515625" bestFit="1" customWidth="1"/>
    <col min="7" max="7" width="24.5703125" customWidth="1"/>
  </cols>
  <sheetData>
    <row r="2" spans="2:7" x14ac:dyDescent="0.2">
      <c r="B2" t="s">
        <v>1519</v>
      </c>
      <c r="F2" t="s">
        <v>1615</v>
      </c>
      <c r="G2" s="1133" t="s">
        <v>1616</v>
      </c>
    </row>
    <row r="3" spans="2:7" x14ac:dyDescent="0.2">
      <c r="B3" t="s">
        <v>1332</v>
      </c>
      <c r="F3" t="s">
        <v>1617</v>
      </c>
      <c r="G3" s="1134"/>
    </row>
    <row r="4" spans="2:7" x14ac:dyDescent="0.2">
      <c r="B4" t="s">
        <v>1521</v>
      </c>
      <c r="F4" t="s">
        <v>1618</v>
      </c>
      <c r="G4" s="1134"/>
    </row>
    <row r="5" spans="2:7" x14ac:dyDescent="0.2">
      <c r="B5" t="s">
        <v>1333</v>
      </c>
      <c r="C5" t="s">
        <v>1334</v>
      </c>
      <c r="F5" t="s">
        <v>1619</v>
      </c>
      <c r="G5" s="1134"/>
    </row>
    <row r="6" spans="2:7" x14ac:dyDescent="0.2">
      <c r="B6" t="s">
        <v>1335</v>
      </c>
      <c r="F6" t="s">
        <v>1620</v>
      </c>
      <c r="G6" s="1134"/>
    </row>
    <row r="7" spans="2:7" x14ac:dyDescent="0.2">
      <c r="B7" t="s">
        <v>1336</v>
      </c>
      <c r="F7" t="s">
        <v>1621</v>
      </c>
      <c r="G7" s="1134"/>
    </row>
    <row r="8" spans="2:7" x14ac:dyDescent="0.2">
      <c r="F8" t="s">
        <v>1622</v>
      </c>
      <c r="G8" s="1134"/>
    </row>
    <row r="9" spans="2:7" x14ac:dyDescent="0.2">
      <c r="B9" t="s">
        <v>1520</v>
      </c>
      <c r="F9" t="s">
        <v>616</v>
      </c>
      <c r="G9" s="1134"/>
    </row>
    <row r="10" spans="2:7" x14ac:dyDescent="0.2">
      <c r="B10" t="s">
        <v>1401</v>
      </c>
      <c r="F10" t="s">
        <v>1624</v>
      </c>
      <c r="G10" s="1133" t="s">
        <v>1623</v>
      </c>
    </row>
    <row r="11" spans="2:7" x14ac:dyDescent="0.2">
      <c r="B11" t="s">
        <v>1402</v>
      </c>
      <c r="F11" t="s">
        <v>1625</v>
      </c>
      <c r="G11" s="1133"/>
    </row>
    <row r="12" spans="2:7" ht="25.5" x14ac:dyDescent="0.2">
      <c r="B12" s="105" t="s">
        <v>1565</v>
      </c>
      <c r="F12" t="s">
        <v>1626</v>
      </c>
      <c r="G12" s="1133"/>
    </row>
    <row r="13" spans="2:7" x14ac:dyDescent="0.2">
      <c r="B13" t="s">
        <v>1566</v>
      </c>
      <c r="F13" t="s">
        <v>1627</v>
      </c>
      <c r="G13" s="1133"/>
    </row>
    <row r="14" spans="2:7" x14ac:dyDescent="0.2">
      <c r="B14" t="s">
        <v>1606</v>
      </c>
      <c r="F14" t="s">
        <v>1628</v>
      </c>
      <c r="G14" s="1133" t="s">
        <v>1629</v>
      </c>
    </row>
    <row r="15" spans="2:7" x14ac:dyDescent="0.2">
      <c r="B15" t="s">
        <v>1642</v>
      </c>
      <c r="F15" t="s">
        <v>1630</v>
      </c>
      <c r="G15" s="1133"/>
    </row>
    <row r="16" spans="2:7" x14ac:dyDescent="0.2">
      <c r="F16" t="s">
        <v>1631</v>
      </c>
      <c r="G16" s="1133"/>
    </row>
    <row r="17" spans="2:7" x14ac:dyDescent="0.2">
      <c r="F17" t="s">
        <v>1632</v>
      </c>
      <c r="G17" s="1133" t="s">
        <v>1633</v>
      </c>
    </row>
    <row r="18" spans="2:7" x14ac:dyDescent="0.2">
      <c r="B18" t="s">
        <v>1850</v>
      </c>
      <c r="F18" t="s">
        <v>1634</v>
      </c>
      <c r="G18" s="1133"/>
    </row>
    <row r="19" spans="2:7" x14ac:dyDescent="0.2">
      <c r="B19" t="s">
        <v>1934</v>
      </c>
      <c r="F19" t="s">
        <v>1635</v>
      </c>
      <c r="G19" s="1133"/>
    </row>
    <row r="20" spans="2:7" x14ac:dyDescent="0.2">
      <c r="B20" t="s">
        <v>1935</v>
      </c>
      <c r="F20" t="s">
        <v>1636</v>
      </c>
      <c r="G20" s="1133"/>
    </row>
    <row r="21" spans="2:7" x14ac:dyDescent="0.2">
      <c r="B21" t="s">
        <v>0</v>
      </c>
      <c r="F21" t="s">
        <v>1637</v>
      </c>
      <c r="G21" s="1133"/>
    </row>
    <row r="22" spans="2:7" x14ac:dyDescent="0.2">
      <c r="B22" t="s">
        <v>846</v>
      </c>
      <c r="F22" t="s">
        <v>1638</v>
      </c>
      <c r="G22" s="1133"/>
    </row>
    <row r="23" spans="2:7" x14ac:dyDescent="0.2">
      <c r="F23" t="s">
        <v>1639</v>
      </c>
      <c r="G23" s="1133"/>
    </row>
    <row r="24" spans="2:7" x14ac:dyDescent="0.2">
      <c r="F24" t="s">
        <v>1640</v>
      </c>
      <c r="G24" s="1133"/>
    </row>
    <row r="25" spans="2:7" x14ac:dyDescent="0.2">
      <c r="F25" t="s">
        <v>1641</v>
      </c>
      <c r="G25" s="1133"/>
    </row>
    <row r="26" spans="2:7" x14ac:dyDescent="0.2">
      <c r="B26" t="s">
        <v>22</v>
      </c>
    </row>
    <row r="27" spans="2:7" x14ac:dyDescent="0.2">
      <c r="B27" t="s">
        <v>7</v>
      </c>
    </row>
    <row r="28" spans="2:7" x14ac:dyDescent="0.2">
      <c r="B28" t="s">
        <v>1850</v>
      </c>
    </row>
    <row r="29" spans="2:7" x14ac:dyDescent="0.2">
      <c r="B29" t="s">
        <v>28</v>
      </c>
    </row>
    <row r="31" spans="2:7" x14ac:dyDescent="0.2">
      <c r="B31" t="s">
        <v>23</v>
      </c>
    </row>
    <row r="32" spans="2:7" x14ac:dyDescent="0.2">
      <c r="B32" t="s">
        <v>25</v>
      </c>
    </row>
    <row r="33" spans="2:5" x14ac:dyDescent="0.2">
      <c r="B33" t="s">
        <v>24</v>
      </c>
    </row>
    <row r="34" spans="2:5" x14ac:dyDescent="0.2">
      <c r="B34" t="s">
        <v>26</v>
      </c>
    </row>
    <row r="35" spans="2:5" x14ac:dyDescent="0.2">
      <c r="B35" t="s">
        <v>27</v>
      </c>
    </row>
    <row r="39" spans="2:5" x14ac:dyDescent="0.2">
      <c r="D39" s="2">
        <v>280000</v>
      </c>
      <c r="E39" s="359">
        <f>D39/$D$56</f>
        <v>1.276207839562443E-2</v>
      </c>
    </row>
    <row r="40" spans="2:5" x14ac:dyDescent="0.2">
      <c r="D40" s="2">
        <v>200000</v>
      </c>
      <c r="E40" s="359">
        <f t="shared" ref="E40:E55" si="0">D40/$D$56</f>
        <v>9.1157702825888781E-3</v>
      </c>
    </row>
    <row r="41" spans="2:5" x14ac:dyDescent="0.2">
      <c r="D41" s="2">
        <v>1500000</v>
      </c>
      <c r="E41" s="359">
        <f t="shared" si="0"/>
        <v>6.8368277119416593E-2</v>
      </c>
    </row>
    <row r="42" spans="2:5" x14ac:dyDescent="0.2">
      <c r="D42" s="2">
        <v>2600000</v>
      </c>
      <c r="E42" s="359">
        <f t="shared" si="0"/>
        <v>0.11850501367365543</v>
      </c>
    </row>
    <row r="43" spans="2:5" x14ac:dyDescent="0.2">
      <c r="D43" s="2">
        <v>840000</v>
      </c>
      <c r="E43" s="359">
        <f t="shared" si="0"/>
        <v>3.8286235186873289E-2</v>
      </c>
    </row>
    <row r="44" spans="2:5" x14ac:dyDescent="0.2">
      <c r="D44" s="2">
        <v>2100000</v>
      </c>
      <c r="E44" s="359">
        <f t="shared" si="0"/>
        <v>9.5715587967183227E-2</v>
      </c>
    </row>
    <row r="45" spans="2:5" x14ac:dyDescent="0.2">
      <c r="D45" s="2">
        <v>1600000</v>
      </c>
      <c r="E45" s="359">
        <f t="shared" si="0"/>
        <v>7.2926162260711025E-2</v>
      </c>
    </row>
    <row r="46" spans="2:5" x14ac:dyDescent="0.2">
      <c r="D46" s="2">
        <v>1100000</v>
      </c>
      <c r="E46" s="359">
        <f t="shared" si="0"/>
        <v>5.0136736554238837E-2</v>
      </c>
    </row>
    <row r="47" spans="2:5" x14ac:dyDescent="0.2">
      <c r="D47" s="2">
        <v>800000</v>
      </c>
      <c r="E47" s="359">
        <f t="shared" si="0"/>
        <v>3.6463081130355512E-2</v>
      </c>
    </row>
    <row r="48" spans="2:5" x14ac:dyDescent="0.2">
      <c r="D48" s="2">
        <v>1050000</v>
      </c>
      <c r="E48" s="359">
        <f t="shared" si="0"/>
        <v>4.7857793983591614E-2</v>
      </c>
    </row>
    <row r="49" spans="4:5" x14ac:dyDescent="0.2">
      <c r="D49" s="2">
        <v>450000</v>
      </c>
      <c r="E49" s="359">
        <f t="shared" si="0"/>
        <v>2.0510483135824976E-2</v>
      </c>
    </row>
    <row r="50" spans="4:5" x14ac:dyDescent="0.2">
      <c r="D50" s="2">
        <v>1750000</v>
      </c>
      <c r="E50" s="359">
        <f t="shared" si="0"/>
        <v>7.9762989972652687E-2</v>
      </c>
    </row>
    <row r="51" spans="4:5" x14ac:dyDescent="0.2">
      <c r="D51" s="2">
        <v>530000</v>
      </c>
      <c r="E51" s="359">
        <f t="shared" si="0"/>
        <v>2.415679124886053E-2</v>
      </c>
    </row>
    <row r="52" spans="4:5" x14ac:dyDescent="0.2">
      <c r="D52" s="2">
        <v>2150000</v>
      </c>
      <c r="E52" s="359">
        <f t="shared" si="0"/>
        <v>9.7994530537830443E-2</v>
      </c>
    </row>
    <row r="53" spans="4:5" x14ac:dyDescent="0.2">
      <c r="D53" s="2">
        <v>950000</v>
      </c>
      <c r="E53" s="359">
        <f t="shared" si="0"/>
        <v>4.3299908842297175E-2</v>
      </c>
    </row>
    <row r="54" spans="4:5" x14ac:dyDescent="0.2">
      <c r="D54" s="2">
        <v>1540000</v>
      </c>
      <c r="E54" s="359">
        <f t="shared" si="0"/>
        <v>7.0191431175934363E-2</v>
      </c>
    </row>
    <row r="55" spans="4:5" x14ac:dyDescent="0.2">
      <c r="D55" s="2">
        <v>2500000</v>
      </c>
      <c r="E55" s="359">
        <f t="shared" si="0"/>
        <v>0.11394712853236098</v>
      </c>
    </row>
    <row r="56" spans="4:5" x14ac:dyDescent="0.2">
      <c r="D56" s="3">
        <f>SUM(D39:D55)</f>
        <v>21940000</v>
      </c>
    </row>
  </sheetData>
  <mergeCells count="4">
    <mergeCell ref="G17:G25"/>
    <mergeCell ref="G2:G9"/>
    <mergeCell ref="G10:G13"/>
    <mergeCell ref="G14:G1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Munka18"/>
  <dimension ref="A1:C27"/>
  <sheetViews>
    <sheetView workbookViewId="0">
      <selection activeCell="A30" sqref="A30"/>
    </sheetView>
  </sheetViews>
  <sheetFormatPr defaultRowHeight="12.75" x14ac:dyDescent="0.2"/>
  <cols>
    <col min="1" max="1" width="47.85546875" customWidth="1"/>
    <col min="2" max="2" width="17.42578125" bestFit="1" customWidth="1"/>
    <col min="3" max="3" width="57.85546875" bestFit="1" customWidth="1"/>
  </cols>
  <sheetData>
    <row r="1" spans="1:3" x14ac:dyDescent="0.2">
      <c r="A1" t="s">
        <v>1017</v>
      </c>
      <c r="B1" t="s">
        <v>1014</v>
      </c>
    </row>
    <row r="2" spans="1:3" x14ac:dyDescent="0.2">
      <c r="B2" t="s">
        <v>1048</v>
      </c>
      <c r="C2" t="s">
        <v>1049</v>
      </c>
    </row>
    <row r="3" spans="1:3" x14ac:dyDescent="0.2">
      <c r="A3" t="s">
        <v>1015</v>
      </c>
      <c r="B3" t="s">
        <v>1016</v>
      </c>
    </row>
    <row r="4" spans="1:3" x14ac:dyDescent="0.2">
      <c r="A4" t="s">
        <v>1064</v>
      </c>
      <c r="B4" t="s">
        <v>1065</v>
      </c>
      <c r="C4" t="s">
        <v>1066</v>
      </c>
    </row>
    <row r="7" spans="1:3" x14ac:dyDescent="0.2">
      <c r="B7" t="s">
        <v>1036</v>
      </c>
    </row>
    <row r="8" spans="1:3" x14ac:dyDescent="0.2">
      <c r="A8" t="s">
        <v>1034</v>
      </c>
      <c r="B8">
        <v>760</v>
      </c>
    </row>
    <row r="9" spans="1:3" x14ac:dyDescent="0.2">
      <c r="A9" t="s">
        <v>1035</v>
      </c>
      <c r="B9">
        <v>1100</v>
      </c>
    </row>
    <row r="10" spans="1:3" x14ac:dyDescent="0.2">
      <c r="B10" s="69">
        <f>SUM(B8:B9)</f>
        <v>1860</v>
      </c>
    </row>
    <row r="12" spans="1:3" ht="13.5" thickBot="1" x14ac:dyDescent="0.25">
      <c r="A12" t="s">
        <v>1285</v>
      </c>
    </row>
    <row r="13" spans="1:3" ht="13.5" thickBot="1" x14ac:dyDescent="0.25">
      <c r="A13" s="103" t="s">
        <v>1286</v>
      </c>
      <c r="B13" t="s">
        <v>1294</v>
      </c>
    </row>
    <row r="14" spans="1:3" x14ac:dyDescent="0.2">
      <c r="A14" t="s">
        <v>1295</v>
      </c>
    </row>
    <row r="15" spans="1:3" x14ac:dyDescent="0.2">
      <c r="A15" t="s">
        <v>1296</v>
      </c>
      <c r="B15" t="s">
        <v>1297</v>
      </c>
    </row>
    <row r="16" spans="1:3" x14ac:dyDescent="0.2">
      <c r="A16" t="s">
        <v>1298</v>
      </c>
      <c r="B16" t="s">
        <v>1297</v>
      </c>
    </row>
    <row r="19" spans="1:2" x14ac:dyDescent="0.2">
      <c r="A19" s="104" t="s">
        <v>1299</v>
      </c>
      <c r="B19" t="s">
        <v>1300</v>
      </c>
    </row>
    <row r="22" spans="1:2" x14ac:dyDescent="0.2">
      <c r="A22" t="s">
        <v>1321</v>
      </c>
      <c r="B22" t="s">
        <v>1322</v>
      </c>
    </row>
    <row r="23" spans="1:2" x14ac:dyDescent="0.2">
      <c r="A23" t="s">
        <v>1323</v>
      </c>
      <c r="B23" t="s">
        <v>1322</v>
      </c>
    </row>
    <row r="24" spans="1:2" x14ac:dyDescent="0.2">
      <c r="A24" t="s">
        <v>1325</v>
      </c>
      <c r="B24" t="s">
        <v>977</v>
      </c>
    </row>
    <row r="25" spans="1:2" x14ac:dyDescent="0.2">
      <c r="A25" t="s">
        <v>1468</v>
      </c>
      <c r="B25" t="s">
        <v>979</v>
      </c>
    </row>
    <row r="26" spans="1:2" x14ac:dyDescent="0.2">
      <c r="A26" t="s">
        <v>1102</v>
      </c>
      <c r="B26" t="s">
        <v>1103</v>
      </c>
    </row>
    <row r="27" spans="1:2" x14ac:dyDescent="0.2">
      <c r="A27" s="104" t="s">
        <v>1014</v>
      </c>
    </row>
  </sheetData>
  <phoneticPr fontId="0" type="noConversion"/>
  <hyperlinks>
    <hyperlink ref="A13" r:id="rId1" display="http://forum.index.hu/User/UserDescription?u=324708" xr:uid="{00000000-0004-0000-2600-000000000000}"/>
    <hyperlink ref="A19" r:id="rId2" xr:uid="{00000000-0004-0000-2600-000001000000}"/>
    <hyperlink ref="A27" r:id="rId3" tooltip="Veterán" display="http://forum.index.hu/User/UserDescription?u=976115" xr:uid="{00000000-0004-0000-2600-000002000000}"/>
  </hyperlinks>
  <pageMargins left="0.75" right="0.75" top="1" bottom="1" header="0.5" footer="0.5"/>
  <pageSetup paperSize="9" orientation="portrait" horizontalDpi="300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17">
    <outlinePr summaryBelow="0"/>
  </sheetPr>
  <dimension ref="A3:F234"/>
  <sheetViews>
    <sheetView topLeftCell="A192" workbookViewId="0">
      <selection activeCell="B186" sqref="B186"/>
    </sheetView>
  </sheetViews>
  <sheetFormatPr defaultRowHeight="12.75" outlineLevelRow="2" x14ac:dyDescent="0.2"/>
  <cols>
    <col min="1" max="1" width="55.140625" customWidth="1"/>
    <col min="2" max="2" width="56.5703125" style="105" customWidth="1"/>
    <col min="3" max="3" width="25.7109375" style="105" customWidth="1"/>
    <col min="4" max="4" width="23.28515625" style="105" customWidth="1"/>
    <col min="5" max="5" width="11.5703125" bestFit="1" customWidth="1"/>
    <col min="6" max="6" width="12.140625" style="45" customWidth="1"/>
    <col min="7" max="7" width="11.140625" customWidth="1"/>
  </cols>
  <sheetData>
    <row r="3" spans="1:6" collapsed="1" x14ac:dyDescent="0.2">
      <c r="A3" s="69" t="s">
        <v>965</v>
      </c>
    </row>
    <row r="4" spans="1:6" s="11" customFormat="1" hidden="1" outlineLevel="1" x14ac:dyDescent="0.2">
      <c r="A4" s="11" t="s">
        <v>993</v>
      </c>
      <c r="B4" s="106" t="s">
        <v>998</v>
      </c>
      <c r="C4" s="106"/>
      <c r="D4" s="106"/>
      <c r="F4" s="45"/>
    </row>
    <row r="5" spans="1:6" s="11" customFormat="1" hidden="1" outlineLevel="1" x14ac:dyDescent="0.2">
      <c r="A5" s="11" t="s">
        <v>994</v>
      </c>
      <c r="B5" s="106" t="s">
        <v>999</v>
      </c>
      <c r="C5" s="106" t="s">
        <v>1485</v>
      </c>
      <c r="D5" s="106"/>
      <c r="F5" s="45"/>
    </row>
    <row r="6" spans="1:6" s="11" customFormat="1" hidden="1" outlineLevel="1" x14ac:dyDescent="0.2">
      <c r="A6" s="11" t="s">
        <v>995</v>
      </c>
      <c r="B6" s="106" t="s">
        <v>999</v>
      </c>
      <c r="C6" s="106"/>
      <c r="D6" s="106"/>
      <c r="F6" s="45"/>
    </row>
    <row r="7" spans="1:6" s="11" customFormat="1" hidden="1" outlineLevel="1" x14ac:dyDescent="0.2">
      <c r="A7" s="11" t="s">
        <v>996</v>
      </c>
      <c r="B7" s="106" t="s">
        <v>999</v>
      </c>
      <c r="C7" s="106"/>
      <c r="D7" s="106"/>
      <c r="F7" s="45"/>
    </row>
    <row r="8" spans="1:6" s="11" customFormat="1" hidden="1" outlineLevel="1" x14ac:dyDescent="0.2">
      <c r="A8" s="11" t="s">
        <v>1000</v>
      </c>
      <c r="B8" s="106" t="s">
        <v>999</v>
      </c>
      <c r="C8" s="106" t="s">
        <v>1485</v>
      </c>
      <c r="D8" s="106"/>
      <c r="F8" s="45"/>
    </row>
    <row r="9" spans="1:6" s="11" customFormat="1" hidden="1" outlineLevel="1" x14ac:dyDescent="0.2">
      <c r="A9" s="11" t="s">
        <v>997</v>
      </c>
      <c r="B9" s="106" t="s">
        <v>999</v>
      </c>
      <c r="C9" s="106" t="s">
        <v>1485</v>
      </c>
      <c r="D9" s="106"/>
      <c r="F9" s="45"/>
    </row>
    <row r="10" spans="1:6" s="11" customFormat="1" x14ac:dyDescent="0.2">
      <c r="B10" s="106"/>
      <c r="C10" s="106"/>
      <c r="D10" s="106"/>
      <c r="F10" s="45"/>
    </row>
    <row r="11" spans="1:6" collapsed="1" x14ac:dyDescent="0.2">
      <c r="A11" s="69" t="s">
        <v>966</v>
      </c>
    </row>
    <row r="12" spans="1:6" hidden="1" outlineLevel="1" x14ac:dyDescent="0.2">
      <c r="A12" t="s">
        <v>967</v>
      </c>
    </row>
    <row r="14" spans="1:6" collapsed="1" x14ac:dyDescent="0.2">
      <c r="A14" s="69" t="s">
        <v>990</v>
      </c>
    </row>
    <row r="15" spans="1:6" hidden="1" outlineLevel="1" x14ac:dyDescent="0.2">
      <c r="A15" t="s">
        <v>968</v>
      </c>
      <c r="B15" s="105" t="s">
        <v>991</v>
      </c>
      <c r="C15" s="105" t="s">
        <v>1018</v>
      </c>
    </row>
    <row r="16" spans="1:6" hidden="1" outlineLevel="1" x14ac:dyDescent="0.2">
      <c r="A16" t="s">
        <v>788</v>
      </c>
      <c r="B16" s="105" t="s">
        <v>980</v>
      </c>
      <c r="C16" s="105" t="s">
        <v>1144</v>
      </c>
    </row>
    <row r="17" spans="1:4" hidden="1" outlineLevel="1" x14ac:dyDescent="0.2">
      <c r="A17" t="s">
        <v>969</v>
      </c>
      <c r="B17" s="105" t="s">
        <v>992</v>
      </c>
      <c r="C17" s="105" t="s">
        <v>1005</v>
      </c>
    </row>
    <row r="18" spans="1:4" hidden="1" outlineLevel="1" x14ac:dyDescent="0.2">
      <c r="A18" t="s">
        <v>1359</v>
      </c>
      <c r="B18" s="105" t="s">
        <v>984</v>
      </c>
    </row>
    <row r="20" spans="1:4" x14ac:dyDescent="0.2">
      <c r="A20" s="69" t="s">
        <v>971</v>
      </c>
    </row>
    <row r="21" spans="1:4" outlineLevel="1" x14ac:dyDescent="0.2">
      <c r="A21" t="s">
        <v>970</v>
      </c>
    </row>
    <row r="22" spans="1:4" outlineLevel="1" x14ac:dyDescent="0.2">
      <c r="A22" t="s">
        <v>972</v>
      </c>
    </row>
    <row r="23" spans="1:4" outlineLevel="1" x14ac:dyDescent="0.2">
      <c r="A23" t="s">
        <v>778</v>
      </c>
    </row>
    <row r="24" spans="1:4" outlineLevel="2" x14ac:dyDescent="0.2">
      <c r="A24" t="s">
        <v>973</v>
      </c>
      <c r="B24" s="105" t="s">
        <v>898</v>
      </c>
    </row>
    <row r="25" spans="1:4" outlineLevel="2" x14ac:dyDescent="0.2">
      <c r="A25" t="s">
        <v>974</v>
      </c>
      <c r="B25" s="105" t="s">
        <v>898</v>
      </c>
    </row>
    <row r="26" spans="1:4" outlineLevel="2" x14ac:dyDescent="0.2">
      <c r="A26" t="s">
        <v>975</v>
      </c>
      <c r="B26" s="105" t="s">
        <v>1010</v>
      </c>
    </row>
    <row r="27" spans="1:4" ht="38.25" outlineLevel="2" x14ac:dyDescent="0.2">
      <c r="A27" t="s">
        <v>1009</v>
      </c>
      <c r="B27" s="105" t="s">
        <v>977</v>
      </c>
      <c r="C27" s="105" t="s">
        <v>1303</v>
      </c>
      <c r="D27" s="105" t="s">
        <v>1339</v>
      </c>
    </row>
    <row r="28" spans="1:4" outlineLevel="2" x14ac:dyDescent="0.2">
      <c r="A28" t="s">
        <v>978</v>
      </c>
      <c r="B28" s="105" t="s">
        <v>1008</v>
      </c>
    </row>
    <row r="29" spans="1:4" ht="25.5" outlineLevel="2" x14ac:dyDescent="0.2">
      <c r="A29" t="s">
        <v>1007</v>
      </c>
      <c r="B29" s="105" t="s">
        <v>1006</v>
      </c>
      <c r="C29" s="105" t="s">
        <v>1304</v>
      </c>
    </row>
    <row r="30" spans="1:4" outlineLevel="2" x14ac:dyDescent="0.2">
      <c r="A30" t="s">
        <v>1320</v>
      </c>
      <c r="B30" s="105" t="s">
        <v>1340</v>
      </c>
    </row>
    <row r="31" spans="1:4" outlineLevel="2" x14ac:dyDescent="0.2"/>
    <row r="32" spans="1:4" outlineLevel="1" x14ac:dyDescent="0.2">
      <c r="A32" t="s">
        <v>976</v>
      </c>
      <c r="B32" s="105" t="s">
        <v>1311</v>
      </c>
    </row>
    <row r="33" spans="1:2" outlineLevel="1" x14ac:dyDescent="0.2">
      <c r="A33" t="s">
        <v>979</v>
      </c>
      <c r="B33" s="105" t="s">
        <v>980</v>
      </c>
    </row>
    <row r="34" spans="1:2" outlineLevel="1" x14ac:dyDescent="0.2">
      <c r="A34" t="s">
        <v>985</v>
      </c>
      <c r="B34" s="105" t="s">
        <v>1141</v>
      </c>
    </row>
    <row r="35" spans="1:2" outlineLevel="1" x14ac:dyDescent="0.2">
      <c r="A35" t="s">
        <v>986</v>
      </c>
      <c r="B35" s="105" t="s">
        <v>1001</v>
      </c>
    </row>
    <row r="37" spans="1:2" collapsed="1" x14ac:dyDescent="0.2">
      <c r="A37" s="69" t="s">
        <v>982</v>
      </c>
    </row>
    <row r="38" spans="1:2" hidden="1" outlineLevel="1" x14ac:dyDescent="0.2">
      <c r="A38" t="s">
        <v>983</v>
      </c>
    </row>
    <row r="39" spans="1:2" hidden="1" outlineLevel="1" x14ac:dyDescent="0.2">
      <c r="A39" t="s">
        <v>1002</v>
      </c>
    </row>
    <row r="40" spans="1:2" hidden="1" outlineLevel="1" x14ac:dyDescent="0.2">
      <c r="A40" t="s">
        <v>1003</v>
      </c>
    </row>
    <row r="41" spans="1:2" hidden="1" outlineLevel="1" x14ac:dyDescent="0.2">
      <c r="A41" t="s">
        <v>987</v>
      </c>
    </row>
    <row r="43" spans="1:2" x14ac:dyDescent="0.2">
      <c r="A43" s="69" t="s">
        <v>952</v>
      </c>
    </row>
    <row r="44" spans="1:2" outlineLevel="1" x14ac:dyDescent="0.2">
      <c r="A44" t="s">
        <v>988</v>
      </c>
    </row>
    <row r="45" spans="1:2" outlineLevel="1" x14ac:dyDescent="0.2">
      <c r="A45" t="s">
        <v>989</v>
      </c>
      <c r="B45" s="105" t="s">
        <v>1012</v>
      </c>
    </row>
    <row r="47" spans="1:2" x14ac:dyDescent="0.2">
      <c r="A47" t="s">
        <v>1011</v>
      </c>
      <c r="B47" s="105" t="s">
        <v>1012</v>
      </c>
    </row>
    <row r="48" spans="1:2" x14ac:dyDescent="0.2">
      <c r="B48" s="105" t="s">
        <v>1013</v>
      </c>
    </row>
    <row r="52" spans="1:6" x14ac:dyDescent="0.2">
      <c r="A52" s="92" t="s">
        <v>1129</v>
      </c>
    </row>
    <row r="53" spans="1:6" x14ac:dyDescent="0.2">
      <c r="A53" s="93" t="s">
        <v>1131</v>
      </c>
    </row>
    <row r="54" spans="1:6" x14ac:dyDescent="0.2">
      <c r="A54" s="93" t="s">
        <v>1130</v>
      </c>
    </row>
    <row r="55" spans="1:6" x14ac:dyDescent="0.2">
      <c r="A55" s="93" t="s">
        <v>964</v>
      </c>
    </row>
    <row r="56" spans="1:6" x14ac:dyDescent="0.2">
      <c r="A56" s="93" t="s">
        <v>1146</v>
      </c>
      <c r="C56" s="107" t="s">
        <v>611</v>
      </c>
      <c r="D56" s="107" t="s">
        <v>642</v>
      </c>
      <c r="E56" s="66" t="s">
        <v>1089</v>
      </c>
      <c r="F56" s="91" t="s">
        <v>760</v>
      </c>
    </row>
    <row r="57" spans="1:6" x14ac:dyDescent="0.2">
      <c r="A57" s="93" t="s">
        <v>1084</v>
      </c>
      <c r="B57" s="105" t="s">
        <v>1405</v>
      </c>
      <c r="C57" s="107">
        <v>160</v>
      </c>
      <c r="D57" s="107">
        <f>C57*16</f>
        <v>2560</v>
      </c>
      <c r="E57" s="66">
        <f>D57/80</f>
        <v>32</v>
      </c>
      <c r="F57" s="54">
        <v>528000</v>
      </c>
    </row>
    <row r="58" spans="1:6" x14ac:dyDescent="0.2">
      <c r="A58" s="93"/>
      <c r="B58" s="105" t="s">
        <v>1091</v>
      </c>
      <c r="C58" s="107">
        <v>80</v>
      </c>
      <c r="D58" s="107">
        <f>C58*8</f>
        <v>640</v>
      </c>
      <c r="E58" s="199">
        <f>D58/96</f>
        <v>6.666666666666667</v>
      </c>
      <c r="F58" s="54">
        <v>128000</v>
      </c>
    </row>
    <row r="59" spans="1:6" x14ac:dyDescent="0.2">
      <c r="A59" s="93"/>
      <c r="B59" s="105" t="s">
        <v>1093</v>
      </c>
      <c r="C59" s="107">
        <v>30</v>
      </c>
      <c r="D59" s="107"/>
      <c r="E59" s="66"/>
      <c r="F59" s="54">
        <v>175000</v>
      </c>
    </row>
    <row r="60" spans="1:6" x14ac:dyDescent="0.2">
      <c r="A60" s="93"/>
      <c r="B60" s="105" t="s">
        <v>1094</v>
      </c>
      <c r="C60" s="107">
        <v>15</v>
      </c>
      <c r="D60" s="107"/>
      <c r="E60" s="66"/>
      <c r="F60" s="54">
        <v>55000</v>
      </c>
    </row>
    <row r="61" spans="1:6" x14ac:dyDescent="0.2">
      <c r="A61" s="93"/>
      <c r="B61" s="105" t="s">
        <v>1086</v>
      </c>
      <c r="C61" s="107"/>
      <c r="D61" s="107"/>
      <c r="E61" s="66"/>
      <c r="F61" s="54">
        <v>65000</v>
      </c>
    </row>
    <row r="62" spans="1:6" x14ac:dyDescent="0.2">
      <c r="A62" s="93"/>
      <c r="B62" s="105" t="s">
        <v>1085</v>
      </c>
      <c r="C62" s="107"/>
      <c r="D62" s="107"/>
      <c r="E62" s="66"/>
      <c r="F62" s="54">
        <v>470000</v>
      </c>
    </row>
    <row r="63" spans="1:6" x14ac:dyDescent="0.2">
      <c r="A63" s="93"/>
      <c r="B63" s="105" t="s">
        <v>1088</v>
      </c>
      <c r="C63" s="107"/>
      <c r="D63" s="107">
        <v>154</v>
      </c>
      <c r="E63" s="66"/>
      <c r="F63" s="54">
        <v>78000</v>
      </c>
    </row>
    <row r="64" spans="1:6" x14ac:dyDescent="0.2">
      <c r="A64" s="93"/>
      <c r="B64" s="105" t="s">
        <v>1092</v>
      </c>
      <c r="C64" s="107">
        <v>225</v>
      </c>
      <c r="D64" s="107">
        <v>2250</v>
      </c>
      <c r="E64" s="66"/>
      <c r="F64" s="54">
        <v>800000</v>
      </c>
    </row>
    <row r="65" spans="1:6" x14ac:dyDescent="0.2">
      <c r="A65" s="93"/>
      <c r="B65" s="105" t="s">
        <v>1095</v>
      </c>
      <c r="C65" s="107">
        <v>200</v>
      </c>
      <c r="D65" s="107"/>
      <c r="E65" s="66"/>
      <c r="F65" s="54">
        <v>156000</v>
      </c>
    </row>
    <row r="66" spans="1:6" x14ac:dyDescent="0.2">
      <c r="A66" s="93"/>
      <c r="B66" s="105" t="s">
        <v>1096</v>
      </c>
      <c r="C66" s="107"/>
      <c r="D66" s="107"/>
      <c r="E66" s="66"/>
      <c r="F66" s="54">
        <v>250000</v>
      </c>
    </row>
    <row r="67" spans="1:6" x14ac:dyDescent="0.2">
      <c r="A67" s="93"/>
    </row>
    <row r="68" spans="1:6" ht="13.5" thickBot="1" x14ac:dyDescent="0.25">
      <c r="A68" s="93"/>
    </row>
    <row r="69" spans="1:6" x14ac:dyDescent="0.2">
      <c r="A69" s="93"/>
      <c r="C69" s="108" t="s">
        <v>1136</v>
      </c>
      <c r="D69" s="111"/>
      <c r="E69" s="64" t="s">
        <v>1134</v>
      </c>
      <c r="F69" s="96">
        <f>SUM(F57:F67)</f>
        <v>2705000</v>
      </c>
    </row>
    <row r="70" spans="1:6" x14ac:dyDescent="0.2">
      <c r="A70" s="93"/>
      <c r="C70" s="109"/>
      <c r="D70" s="112"/>
      <c r="E70" s="47" t="s">
        <v>1133</v>
      </c>
      <c r="F70" s="97">
        <v>5800000</v>
      </c>
    </row>
    <row r="71" spans="1:6" ht="13.5" thickBot="1" x14ac:dyDescent="0.25">
      <c r="A71" s="93"/>
      <c r="C71" s="110"/>
      <c r="D71" s="113"/>
      <c r="E71" s="65" t="s">
        <v>1135</v>
      </c>
      <c r="F71" s="98">
        <v>4100000</v>
      </c>
    </row>
    <row r="72" spans="1:6" x14ac:dyDescent="0.2">
      <c r="A72" s="93"/>
      <c r="F72" s="94"/>
    </row>
    <row r="73" spans="1:6" x14ac:dyDescent="0.2">
      <c r="A73" s="93"/>
      <c r="F73" s="94"/>
    </row>
    <row r="74" spans="1:6" x14ac:dyDescent="0.2">
      <c r="A74" s="93"/>
      <c r="F74" s="94"/>
    </row>
    <row r="75" spans="1:6" x14ac:dyDescent="0.2">
      <c r="A75" t="s">
        <v>1140</v>
      </c>
    </row>
    <row r="76" spans="1:6" x14ac:dyDescent="0.2">
      <c r="A76" t="s">
        <v>970</v>
      </c>
    </row>
    <row r="77" spans="1:6" x14ac:dyDescent="0.2">
      <c r="A77" t="s">
        <v>972</v>
      </c>
    </row>
    <row r="78" spans="1:6" x14ac:dyDescent="0.2">
      <c r="A78" t="s">
        <v>1337</v>
      </c>
    </row>
    <row r="79" spans="1:6" ht="25.5" x14ac:dyDescent="0.2">
      <c r="A79" t="s">
        <v>1338</v>
      </c>
      <c r="B79" s="105" t="s">
        <v>1358</v>
      </c>
    </row>
    <row r="80" spans="1:6" x14ac:dyDescent="0.2">
      <c r="A80" t="s">
        <v>1360</v>
      </c>
    </row>
    <row r="83" spans="1:2" x14ac:dyDescent="0.2">
      <c r="A83" t="s">
        <v>1436</v>
      </c>
      <c r="B83" s="105" t="s">
        <v>1496</v>
      </c>
    </row>
    <row r="84" spans="1:2" x14ac:dyDescent="0.2">
      <c r="A84" t="s">
        <v>1459</v>
      </c>
      <c r="B84" s="105" t="s">
        <v>1460</v>
      </c>
    </row>
    <row r="89" spans="1:2" x14ac:dyDescent="0.2">
      <c r="A89" s="114">
        <v>39985</v>
      </c>
    </row>
    <row r="90" spans="1:2" x14ac:dyDescent="0.2">
      <c r="A90" s="319" t="s">
        <v>1544</v>
      </c>
    </row>
    <row r="91" spans="1:2" x14ac:dyDescent="0.2">
      <c r="A91" s="318" t="s">
        <v>1550</v>
      </c>
    </row>
    <row r="92" spans="1:2" x14ac:dyDescent="0.2">
      <c r="A92" s="318" t="s">
        <v>1552</v>
      </c>
    </row>
    <row r="93" spans="1:2" x14ac:dyDescent="0.2">
      <c r="A93" s="318" t="s">
        <v>1543</v>
      </c>
      <c r="B93" s="105" t="s">
        <v>1551</v>
      </c>
    </row>
    <row r="94" spans="1:2" x14ac:dyDescent="0.2">
      <c r="A94" s="318" t="s">
        <v>1548</v>
      </c>
    </row>
    <row r="95" spans="1:2" x14ac:dyDescent="0.2">
      <c r="A95" s="324" t="s">
        <v>1545</v>
      </c>
      <c r="B95" s="105" t="s">
        <v>1553</v>
      </c>
    </row>
    <row r="96" spans="1:2" x14ac:dyDescent="0.2">
      <c r="A96" s="318" t="s">
        <v>1549</v>
      </c>
    </row>
    <row r="97" spans="1:2" x14ac:dyDescent="0.2">
      <c r="A97" s="318" t="s">
        <v>1559</v>
      </c>
    </row>
    <row r="98" spans="1:2" x14ac:dyDescent="0.2">
      <c r="A98" s="29" t="s">
        <v>1560</v>
      </c>
    </row>
    <row r="99" spans="1:2" x14ac:dyDescent="0.2">
      <c r="A99" s="318" t="s">
        <v>1564</v>
      </c>
      <c r="B99" s="320"/>
    </row>
    <row r="100" spans="1:2" x14ac:dyDescent="0.2">
      <c r="A100" s="319" t="s">
        <v>1561</v>
      </c>
    </row>
    <row r="101" spans="1:2" x14ac:dyDescent="0.2">
      <c r="A101" s="318" t="s">
        <v>1562</v>
      </c>
    </row>
    <row r="102" spans="1:2" x14ac:dyDescent="0.2">
      <c r="A102" s="319"/>
    </row>
    <row r="103" spans="1:2" x14ac:dyDescent="0.2">
      <c r="A103" s="324" t="s">
        <v>1580</v>
      </c>
    </row>
    <row r="104" spans="1:2" x14ac:dyDescent="0.2">
      <c r="A104" s="324" t="s">
        <v>1581</v>
      </c>
    </row>
    <row r="105" spans="1:2" x14ac:dyDescent="0.2">
      <c r="A105" s="324" t="s">
        <v>1582</v>
      </c>
    </row>
    <row r="106" spans="1:2" x14ac:dyDescent="0.2">
      <c r="A106" s="324" t="s">
        <v>1583</v>
      </c>
      <c r="B106" s="317"/>
    </row>
    <row r="107" spans="1:2" x14ac:dyDescent="0.2">
      <c r="A107" s="324" t="s">
        <v>1584</v>
      </c>
      <c r="B107" s="317"/>
    </row>
    <row r="108" spans="1:2" x14ac:dyDescent="0.2">
      <c r="A108" s="324" t="s">
        <v>1585</v>
      </c>
      <c r="B108" s="317"/>
    </row>
    <row r="109" spans="1:2" x14ac:dyDescent="0.2">
      <c r="B109" s="317"/>
    </row>
    <row r="110" spans="1:2" x14ac:dyDescent="0.2">
      <c r="A110" s="69" t="s">
        <v>1665</v>
      </c>
    </row>
    <row r="111" spans="1:2" x14ac:dyDescent="0.2">
      <c r="A111" s="327" t="s">
        <v>1671</v>
      </c>
    </row>
    <row r="112" spans="1:2" x14ac:dyDescent="0.2">
      <c r="A112" s="327" t="s">
        <v>1670</v>
      </c>
    </row>
    <row r="113" spans="1:2" x14ac:dyDescent="0.2">
      <c r="A113" s="327" t="s">
        <v>1668</v>
      </c>
    </row>
    <row r="114" spans="1:2" x14ac:dyDescent="0.2">
      <c r="A114" s="327" t="s">
        <v>1669</v>
      </c>
    </row>
    <row r="115" spans="1:2" x14ac:dyDescent="0.2">
      <c r="A115" s="327" t="s">
        <v>1672</v>
      </c>
    </row>
    <row r="116" spans="1:2" x14ac:dyDescent="0.2">
      <c r="A116" s="319" t="s">
        <v>1666</v>
      </c>
    </row>
    <row r="117" spans="1:2" x14ac:dyDescent="0.2">
      <c r="A117" s="319" t="s">
        <v>1667</v>
      </c>
    </row>
    <row r="120" spans="1:2" x14ac:dyDescent="0.2">
      <c r="A120" t="s">
        <v>1720</v>
      </c>
      <c r="B120" s="105" t="s">
        <v>1751</v>
      </c>
    </row>
    <row r="121" spans="1:2" x14ac:dyDescent="0.2">
      <c r="A121" t="s">
        <v>1721</v>
      </c>
      <c r="B121" s="105" t="s">
        <v>1841</v>
      </c>
    </row>
    <row r="122" spans="1:2" x14ac:dyDescent="0.2">
      <c r="A122" t="s">
        <v>1722</v>
      </c>
      <c r="B122" s="105" t="s">
        <v>898</v>
      </c>
    </row>
    <row r="123" spans="1:2" x14ac:dyDescent="0.2">
      <c r="A123" t="s">
        <v>1723</v>
      </c>
      <c r="B123" s="105" t="s">
        <v>1749</v>
      </c>
    </row>
    <row r="124" spans="1:2" x14ac:dyDescent="0.2">
      <c r="A124" t="s">
        <v>1724</v>
      </c>
      <c r="B124" s="105" t="s">
        <v>1750</v>
      </c>
    </row>
    <row r="126" spans="1:2" ht="25.5" x14ac:dyDescent="0.2">
      <c r="A126" s="105" t="s">
        <v>1840</v>
      </c>
    </row>
    <row r="129" spans="1:4" x14ac:dyDescent="0.2">
      <c r="A129" s="458" t="s">
        <v>195</v>
      </c>
      <c r="B129" s="105" t="s">
        <v>247</v>
      </c>
    </row>
    <row r="130" spans="1:4" x14ac:dyDescent="0.2">
      <c r="A130" s="29" t="s">
        <v>237</v>
      </c>
    </row>
    <row r="131" spans="1:4" x14ac:dyDescent="0.2">
      <c r="A131" s="458" t="s">
        <v>243</v>
      </c>
      <c r="B131" s="105" t="s">
        <v>250</v>
      </c>
    </row>
    <row r="132" spans="1:4" x14ac:dyDescent="0.2">
      <c r="A132" s="458" t="s">
        <v>238</v>
      </c>
      <c r="B132" s="105" t="s">
        <v>1592</v>
      </c>
    </row>
    <row r="133" spans="1:4" x14ac:dyDescent="0.2">
      <c r="A133" t="s">
        <v>239</v>
      </c>
    </row>
    <row r="134" spans="1:4" ht="25.5" x14ac:dyDescent="0.2">
      <c r="A134" s="458" t="s">
        <v>240</v>
      </c>
      <c r="B134" s="105" t="s">
        <v>398</v>
      </c>
      <c r="C134" s="105" t="s">
        <v>204</v>
      </c>
      <c r="D134" s="428" t="s">
        <v>1598</v>
      </c>
    </row>
    <row r="135" spans="1:4" x14ac:dyDescent="0.2">
      <c r="A135" s="458" t="s">
        <v>241</v>
      </c>
      <c r="B135" s="105" t="s">
        <v>248</v>
      </c>
    </row>
    <row r="136" spans="1:4" x14ac:dyDescent="0.2">
      <c r="A136" t="s">
        <v>242</v>
      </c>
    </row>
    <row r="137" spans="1:4" x14ac:dyDescent="0.2">
      <c r="A137" t="s">
        <v>244</v>
      </c>
    </row>
    <row r="138" spans="1:4" x14ac:dyDescent="0.2">
      <c r="A138" s="458" t="s">
        <v>245</v>
      </c>
      <c r="B138" s="105" t="s">
        <v>1594</v>
      </c>
    </row>
    <row r="139" spans="1:4" x14ac:dyDescent="0.2">
      <c r="A139" s="458" t="s">
        <v>1593</v>
      </c>
    </row>
    <row r="140" spans="1:4" x14ac:dyDescent="0.2">
      <c r="A140" s="29" t="s">
        <v>246</v>
      </c>
    </row>
    <row r="141" spans="1:4" x14ac:dyDescent="0.2">
      <c r="A141" s="29" t="s">
        <v>249</v>
      </c>
    </row>
    <row r="142" spans="1:4" x14ac:dyDescent="0.2">
      <c r="A142" s="458" t="s">
        <v>402</v>
      </c>
      <c r="B142" s="105" t="s">
        <v>1597</v>
      </c>
    </row>
    <row r="143" spans="1:4" x14ac:dyDescent="0.2">
      <c r="A143" s="458" t="s">
        <v>1591</v>
      </c>
    </row>
    <row r="145" spans="1:3" x14ac:dyDescent="0.2">
      <c r="A145" s="29" t="s">
        <v>1364</v>
      </c>
    </row>
    <row r="146" spans="1:3" x14ac:dyDescent="0.2">
      <c r="A146" s="29" t="s">
        <v>1365</v>
      </c>
    </row>
    <row r="147" spans="1:3" x14ac:dyDescent="0.2">
      <c r="A147" s="458" t="s">
        <v>1366</v>
      </c>
    </row>
    <row r="149" spans="1:3" x14ac:dyDescent="0.2">
      <c r="A149" s="29" t="s">
        <v>1381</v>
      </c>
    </row>
    <row r="151" spans="1:3" x14ac:dyDescent="0.2">
      <c r="A151" s="29" t="s">
        <v>1438</v>
      </c>
    </row>
    <row r="152" spans="1:3" ht="38.25" x14ac:dyDescent="0.2">
      <c r="A152" s="29" t="s">
        <v>788</v>
      </c>
      <c r="B152" s="105" t="s">
        <v>841</v>
      </c>
    </row>
    <row r="153" spans="1:3" x14ac:dyDescent="0.2">
      <c r="A153" s="29" t="s">
        <v>299</v>
      </c>
    </row>
    <row r="155" spans="1:3" x14ac:dyDescent="0.2">
      <c r="A155" s="29" t="s">
        <v>979</v>
      </c>
    </row>
    <row r="156" spans="1:3" x14ac:dyDescent="0.2">
      <c r="A156" s="458" t="s">
        <v>1097</v>
      </c>
    </row>
    <row r="157" spans="1:3" x14ac:dyDescent="0.2">
      <c r="A157" s="29" t="s">
        <v>1098</v>
      </c>
    </row>
    <row r="158" spans="1:3" x14ac:dyDescent="0.2">
      <c r="A158" s="29" t="s">
        <v>1099</v>
      </c>
      <c r="C158" s="105">
        <v>23</v>
      </c>
    </row>
    <row r="159" spans="1:3" x14ac:dyDescent="0.2">
      <c r="A159" s="458" t="s">
        <v>1100</v>
      </c>
      <c r="C159" s="105">
        <v>7</v>
      </c>
    </row>
    <row r="160" spans="1:3" x14ac:dyDescent="0.2">
      <c r="A160" s="29" t="s">
        <v>1101</v>
      </c>
      <c r="C160" s="105">
        <v>10</v>
      </c>
    </row>
    <row r="161" spans="1:3" x14ac:dyDescent="0.2">
      <c r="A161" s="458" t="s">
        <v>975</v>
      </c>
      <c r="C161" s="105">
        <v>51</v>
      </c>
    </row>
    <row r="162" spans="1:3" x14ac:dyDescent="0.2">
      <c r="A162" s="458" t="s">
        <v>1125</v>
      </c>
      <c r="C162" s="105">
        <v>78</v>
      </c>
    </row>
    <row r="163" spans="1:3" x14ac:dyDescent="0.2">
      <c r="C163" s="105">
        <v>14</v>
      </c>
    </row>
    <row r="164" spans="1:3" x14ac:dyDescent="0.2">
      <c r="A164" s="458" t="s">
        <v>1771</v>
      </c>
      <c r="C164" s="105">
        <v>2</v>
      </c>
    </row>
    <row r="165" spans="1:3" x14ac:dyDescent="0.2">
      <c r="A165" s="458" t="s">
        <v>1772</v>
      </c>
    </row>
    <row r="166" spans="1:3" x14ac:dyDescent="0.2">
      <c r="A166" s="458" t="s">
        <v>1773</v>
      </c>
      <c r="B166" s="105" t="s">
        <v>898</v>
      </c>
      <c r="C166" s="105">
        <v>165</v>
      </c>
    </row>
    <row r="167" spans="1:3" x14ac:dyDescent="0.2">
      <c r="A167" s="458" t="s">
        <v>1774</v>
      </c>
      <c r="B167" s="105" t="s">
        <v>898</v>
      </c>
    </row>
    <row r="168" spans="1:3" x14ac:dyDescent="0.2">
      <c r="A168" s="458" t="s">
        <v>1775</v>
      </c>
      <c r="B168" s="105" t="s">
        <v>898</v>
      </c>
    </row>
    <row r="169" spans="1:3" x14ac:dyDescent="0.2">
      <c r="A169" s="458" t="s">
        <v>1776</v>
      </c>
      <c r="B169" s="105" t="s">
        <v>898</v>
      </c>
    </row>
    <row r="170" spans="1:3" x14ac:dyDescent="0.2">
      <c r="A170" s="458" t="s">
        <v>773</v>
      </c>
      <c r="B170" s="105" t="s">
        <v>898</v>
      </c>
    </row>
    <row r="171" spans="1:3" x14ac:dyDescent="0.2">
      <c r="A171" s="458"/>
    </row>
    <row r="172" spans="1:3" x14ac:dyDescent="0.2">
      <c r="A172" s="458" t="s">
        <v>1777</v>
      </c>
      <c r="B172" s="105" t="s">
        <v>898</v>
      </c>
    </row>
    <row r="173" spans="1:3" x14ac:dyDescent="0.2">
      <c r="A173" s="458" t="s">
        <v>981</v>
      </c>
      <c r="B173" s="105" t="s">
        <v>1706</v>
      </c>
    </row>
    <row r="174" spans="1:3" x14ac:dyDescent="0.2">
      <c r="A174" s="458" t="s">
        <v>577</v>
      </c>
      <c r="B174" s="105" t="s">
        <v>138</v>
      </c>
    </row>
    <row r="175" spans="1:3" x14ac:dyDescent="0.2">
      <c r="A175" s="458" t="s">
        <v>139</v>
      </c>
    </row>
    <row r="177" spans="1:2" x14ac:dyDescent="0.2">
      <c r="A177" s="458" t="s">
        <v>1788</v>
      </c>
      <c r="B177" s="105" t="s">
        <v>1707</v>
      </c>
    </row>
    <row r="178" spans="1:2" x14ac:dyDescent="0.2">
      <c r="A178" s="458" t="s">
        <v>1789</v>
      </c>
      <c r="B178" s="105" t="s">
        <v>1707</v>
      </c>
    </row>
    <row r="179" spans="1:2" x14ac:dyDescent="0.2">
      <c r="A179" s="458" t="s">
        <v>1790</v>
      </c>
    </row>
    <row r="180" spans="1:2" x14ac:dyDescent="0.2">
      <c r="A180" s="458" t="s">
        <v>1791</v>
      </c>
      <c r="B180" s="105" t="s">
        <v>1707</v>
      </c>
    </row>
    <row r="181" spans="1:2" x14ac:dyDescent="0.2">
      <c r="A181" s="458" t="s">
        <v>1810</v>
      </c>
      <c r="B181" s="105" t="s">
        <v>1707</v>
      </c>
    </row>
    <row r="182" spans="1:2" x14ac:dyDescent="0.2">
      <c r="A182" s="458" t="s">
        <v>1811</v>
      </c>
      <c r="B182" s="105" t="s">
        <v>1707</v>
      </c>
    </row>
    <row r="183" spans="1:2" x14ac:dyDescent="0.2">
      <c r="A183" s="458" t="s">
        <v>1820</v>
      </c>
    </row>
    <row r="185" spans="1:2" x14ac:dyDescent="0.2">
      <c r="A185" s="458" t="s">
        <v>1821</v>
      </c>
      <c r="B185" s="105" t="s">
        <v>1707</v>
      </c>
    </row>
    <row r="186" spans="1:2" x14ac:dyDescent="0.2">
      <c r="A186" s="458" t="s">
        <v>1757</v>
      </c>
      <c r="B186" s="105" t="s">
        <v>1707</v>
      </c>
    </row>
    <row r="187" spans="1:2" x14ac:dyDescent="0.2">
      <c r="A187" s="458" t="s">
        <v>1822</v>
      </c>
      <c r="B187" s="105" t="s">
        <v>1707</v>
      </c>
    </row>
    <row r="188" spans="1:2" x14ac:dyDescent="0.2">
      <c r="A188" s="458" t="s">
        <v>1830</v>
      </c>
      <c r="B188" s="105" t="s">
        <v>1707</v>
      </c>
    </row>
    <row r="189" spans="1:2" x14ac:dyDescent="0.2">
      <c r="A189" s="458" t="s">
        <v>1831</v>
      </c>
      <c r="B189" s="105" t="s">
        <v>1832</v>
      </c>
    </row>
    <row r="190" spans="1:2" ht="38.25" x14ac:dyDescent="0.2">
      <c r="B190" s="105" t="s">
        <v>1833</v>
      </c>
    </row>
    <row r="191" spans="1:2" ht="38.25" x14ac:dyDescent="0.2">
      <c r="B191" s="105" t="s">
        <v>1469</v>
      </c>
    </row>
    <row r="192" spans="1:2" x14ac:dyDescent="0.2">
      <c r="A192" s="458" t="s">
        <v>140</v>
      </c>
    </row>
    <row r="193" spans="1:1" x14ac:dyDescent="0.2">
      <c r="A193" s="458" t="s">
        <v>141</v>
      </c>
    </row>
    <row r="194" spans="1:1" x14ac:dyDescent="0.2">
      <c r="A194" s="458" t="s">
        <v>142</v>
      </c>
    </row>
    <row r="195" spans="1:1" x14ac:dyDescent="0.2">
      <c r="A195" s="458" t="s">
        <v>1708</v>
      </c>
    </row>
    <row r="196" spans="1:1" x14ac:dyDescent="0.2">
      <c r="A196" s="458" t="s">
        <v>1709</v>
      </c>
    </row>
    <row r="198" spans="1:1" x14ac:dyDescent="0.2">
      <c r="A198" s="458" t="s">
        <v>1288</v>
      </c>
    </row>
    <row r="200" spans="1:1" x14ac:dyDescent="0.2">
      <c r="A200" s="588" t="s">
        <v>818</v>
      </c>
    </row>
    <row r="201" spans="1:1" ht="25.5" x14ac:dyDescent="0.2">
      <c r="A201" s="591" t="s">
        <v>1956</v>
      </c>
    </row>
    <row r="202" spans="1:1" x14ac:dyDescent="0.2">
      <c r="A202" s="588" t="s">
        <v>819</v>
      </c>
    </row>
    <row r="203" spans="1:1" x14ac:dyDescent="0.2">
      <c r="A203" s="588" t="s">
        <v>820</v>
      </c>
    </row>
    <row r="204" spans="1:1" x14ac:dyDescent="0.2">
      <c r="A204" s="588" t="s">
        <v>1801</v>
      </c>
    </row>
    <row r="205" spans="1:1" x14ac:dyDescent="0.2">
      <c r="A205" s="588" t="s">
        <v>785</v>
      </c>
    </row>
    <row r="206" spans="1:1" x14ac:dyDescent="0.2">
      <c r="A206" s="588" t="s">
        <v>1760</v>
      </c>
    </row>
    <row r="207" spans="1:1" x14ac:dyDescent="0.2">
      <c r="A207" s="588" t="s">
        <v>1946</v>
      </c>
    </row>
    <row r="208" spans="1:1" x14ac:dyDescent="0.2">
      <c r="A208" s="588" t="s">
        <v>1947</v>
      </c>
    </row>
    <row r="209" spans="1:4" ht="25.5" x14ac:dyDescent="0.2">
      <c r="A209" s="591" t="s">
        <v>1948</v>
      </c>
    </row>
    <row r="210" spans="1:4" x14ac:dyDescent="0.2">
      <c r="A210" s="588" t="s">
        <v>1955</v>
      </c>
    </row>
    <row r="211" spans="1:4" x14ac:dyDescent="0.2">
      <c r="A211" s="588" t="s">
        <v>1957</v>
      </c>
    </row>
    <row r="212" spans="1:4" x14ac:dyDescent="0.2">
      <c r="A212" s="588" t="s">
        <v>1958</v>
      </c>
    </row>
    <row r="213" spans="1:4" x14ac:dyDescent="0.2">
      <c r="A213" s="588" t="s">
        <v>1959</v>
      </c>
    </row>
    <row r="214" spans="1:4" x14ac:dyDescent="0.2">
      <c r="A214" s="588"/>
    </row>
    <row r="215" spans="1:4" x14ac:dyDescent="0.2">
      <c r="A215" s="588"/>
    </row>
    <row r="216" spans="1:4" x14ac:dyDescent="0.2">
      <c r="D216" s="105" t="s">
        <v>1167</v>
      </c>
    </row>
    <row r="217" spans="1:4" x14ac:dyDescent="0.2">
      <c r="A217" t="s">
        <v>283</v>
      </c>
      <c r="B217" s="105" t="s">
        <v>1165</v>
      </c>
      <c r="C217" s="105">
        <v>4.3</v>
      </c>
      <c r="D217" s="105">
        <v>3.4</v>
      </c>
    </row>
    <row r="218" spans="1:4" x14ac:dyDescent="0.2">
      <c r="B218" s="105" t="s">
        <v>1166</v>
      </c>
      <c r="C218" s="105">
        <v>3.7</v>
      </c>
      <c r="D218" s="105">
        <v>2.7</v>
      </c>
    </row>
    <row r="220" spans="1:4" x14ac:dyDescent="0.2">
      <c r="A220" t="s">
        <v>687</v>
      </c>
    </row>
    <row r="221" spans="1:4" x14ac:dyDescent="0.2">
      <c r="A221" t="s">
        <v>685</v>
      </c>
    </row>
    <row r="222" spans="1:4" x14ac:dyDescent="0.2">
      <c r="A222" t="s">
        <v>632</v>
      </c>
    </row>
    <row r="223" spans="1:4" x14ac:dyDescent="0.2">
      <c r="A223" t="s">
        <v>688</v>
      </c>
    </row>
    <row r="224" spans="1:4" x14ac:dyDescent="0.2">
      <c r="A224" t="s">
        <v>641</v>
      </c>
    </row>
    <row r="225" spans="1:1" x14ac:dyDescent="0.2">
      <c r="A225" t="s">
        <v>689</v>
      </c>
    </row>
    <row r="226" spans="1:1" x14ac:dyDescent="0.2">
      <c r="A226" t="s">
        <v>690</v>
      </c>
    </row>
    <row r="227" spans="1:1" x14ac:dyDescent="0.2">
      <c r="A227" t="s">
        <v>639</v>
      </c>
    </row>
    <row r="228" spans="1:1" x14ac:dyDescent="0.2">
      <c r="A228" t="s">
        <v>637</v>
      </c>
    </row>
    <row r="229" spans="1:1" x14ac:dyDescent="0.2">
      <c r="A229" t="s">
        <v>691</v>
      </c>
    </row>
    <row r="230" spans="1:1" x14ac:dyDescent="0.2">
      <c r="A230" t="s">
        <v>692</v>
      </c>
    </row>
    <row r="231" spans="1:1" x14ac:dyDescent="0.2">
      <c r="A231" t="s">
        <v>694</v>
      </c>
    </row>
    <row r="232" spans="1:1" x14ac:dyDescent="0.2">
      <c r="A232" t="s">
        <v>693</v>
      </c>
    </row>
    <row r="234" spans="1:1" x14ac:dyDescent="0.2">
      <c r="A234" s="611" t="s">
        <v>1980</v>
      </c>
    </row>
  </sheetData>
  <dataConsolidate/>
  <phoneticPr fontId="0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Munka43"/>
  <dimension ref="A2:M62"/>
  <sheetViews>
    <sheetView topLeftCell="A25" workbookViewId="0">
      <selection activeCell="F44" sqref="F44:L44"/>
    </sheetView>
  </sheetViews>
  <sheetFormatPr defaultRowHeight="12.75" x14ac:dyDescent="0.2"/>
  <cols>
    <col min="1" max="1" width="6.85546875" customWidth="1"/>
    <col min="2" max="2" width="20.42578125" customWidth="1"/>
    <col min="3" max="3" width="19.85546875" customWidth="1"/>
    <col min="4" max="4" width="12.85546875" customWidth="1"/>
    <col min="5" max="5" width="13.140625" customWidth="1"/>
    <col min="6" max="6" width="14.7109375" style="66" customWidth="1"/>
    <col min="8" max="8" width="13" customWidth="1"/>
    <col min="9" max="9" width="11.42578125" customWidth="1"/>
    <col min="10" max="10" width="13.42578125" customWidth="1"/>
    <col min="12" max="12" width="12.42578125" style="66" bestFit="1" customWidth="1"/>
    <col min="13" max="13" width="18.85546875" bestFit="1" customWidth="1"/>
  </cols>
  <sheetData>
    <row r="2" spans="1:5" x14ac:dyDescent="0.2">
      <c r="A2">
        <v>0.1</v>
      </c>
      <c r="B2" t="s">
        <v>1961</v>
      </c>
      <c r="C2" t="s">
        <v>1961</v>
      </c>
      <c r="D2" s="602">
        <v>0.85</v>
      </c>
      <c r="E2" s="602">
        <v>1.43</v>
      </c>
    </row>
    <row r="3" spans="1:5" x14ac:dyDescent="0.2">
      <c r="A3">
        <v>0.1</v>
      </c>
      <c r="B3" t="s">
        <v>1961</v>
      </c>
      <c r="C3" t="s">
        <v>1961</v>
      </c>
      <c r="D3" s="602">
        <v>0.85</v>
      </c>
      <c r="E3" s="602">
        <v>1.43</v>
      </c>
    </row>
    <row r="4" spans="1:5" x14ac:dyDescent="0.2">
      <c r="A4">
        <v>0.1</v>
      </c>
      <c r="B4" t="s">
        <v>1961</v>
      </c>
      <c r="C4" t="s">
        <v>1961</v>
      </c>
      <c r="D4" s="602">
        <v>1.51</v>
      </c>
      <c r="E4" s="602">
        <v>0.66</v>
      </c>
    </row>
    <row r="5" spans="1:5" x14ac:dyDescent="0.2">
      <c r="A5">
        <v>0.1</v>
      </c>
      <c r="B5" t="s">
        <v>1961</v>
      </c>
      <c r="C5" t="s">
        <v>1961</v>
      </c>
      <c r="D5" s="602">
        <v>1.68</v>
      </c>
      <c r="E5" s="602">
        <v>1.68</v>
      </c>
    </row>
    <row r="6" spans="1:5" x14ac:dyDescent="0.2">
      <c r="A6">
        <v>0.1</v>
      </c>
      <c r="B6" t="s">
        <v>1961</v>
      </c>
      <c r="C6" t="s">
        <v>1961</v>
      </c>
      <c r="D6" s="602">
        <v>2.16</v>
      </c>
      <c r="E6" s="602">
        <v>2.4</v>
      </c>
    </row>
    <row r="7" spans="1:5" x14ac:dyDescent="0.2">
      <c r="A7">
        <v>0.1</v>
      </c>
      <c r="B7" t="s">
        <v>1961</v>
      </c>
      <c r="C7" t="s">
        <v>1961</v>
      </c>
      <c r="D7" s="602">
        <v>2.66</v>
      </c>
      <c r="E7" s="602">
        <v>1.96</v>
      </c>
    </row>
    <row r="8" spans="1:5" x14ac:dyDescent="0.2">
      <c r="A8">
        <v>0.1</v>
      </c>
      <c r="B8" t="s">
        <v>1961</v>
      </c>
      <c r="C8" t="s">
        <v>1961</v>
      </c>
      <c r="D8" s="602">
        <v>3.36</v>
      </c>
      <c r="E8" s="602">
        <v>3.36</v>
      </c>
    </row>
    <row r="9" spans="1:5" x14ac:dyDescent="0.2">
      <c r="A9">
        <v>0.1</v>
      </c>
      <c r="B9" t="s">
        <v>1961</v>
      </c>
      <c r="C9" t="s">
        <v>1961</v>
      </c>
      <c r="D9" s="602">
        <v>3.78</v>
      </c>
      <c r="E9" s="602">
        <v>4.0599999999999996</v>
      </c>
    </row>
    <row r="10" spans="1:5" x14ac:dyDescent="0.2">
      <c r="A10">
        <v>0.1</v>
      </c>
      <c r="B10" t="s">
        <v>1961</v>
      </c>
      <c r="C10" t="s">
        <v>1961</v>
      </c>
      <c r="D10" s="602">
        <v>4.34</v>
      </c>
      <c r="E10" s="602">
        <v>3.78</v>
      </c>
    </row>
    <row r="11" spans="1:5" x14ac:dyDescent="0.2">
      <c r="A11">
        <v>0.1</v>
      </c>
      <c r="B11" t="s">
        <v>1961</v>
      </c>
      <c r="C11" t="s">
        <v>1961</v>
      </c>
      <c r="D11" s="602">
        <v>4.5599999999999996</v>
      </c>
      <c r="E11" s="602">
        <v>3.68</v>
      </c>
    </row>
    <row r="12" spans="1:5" x14ac:dyDescent="0.2">
      <c r="A12">
        <v>0.1</v>
      </c>
      <c r="B12" t="s">
        <v>1961</v>
      </c>
      <c r="C12" t="s">
        <v>1961</v>
      </c>
      <c r="D12" s="602">
        <v>6.16</v>
      </c>
      <c r="E12" s="602">
        <v>6.16</v>
      </c>
    </row>
    <row r="13" spans="1:5" x14ac:dyDescent="0.2">
      <c r="A13">
        <v>0.1</v>
      </c>
      <c r="B13" t="s">
        <v>1961</v>
      </c>
      <c r="C13" t="s">
        <v>1961</v>
      </c>
      <c r="D13" s="602">
        <v>6.16</v>
      </c>
      <c r="E13" s="602">
        <v>5.88</v>
      </c>
    </row>
    <row r="14" spans="1:5" x14ac:dyDescent="0.2">
      <c r="A14">
        <v>0.1</v>
      </c>
      <c r="B14" t="s">
        <v>1961</v>
      </c>
      <c r="C14" t="s">
        <v>1961</v>
      </c>
      <c r="D14" s="602">
        <v>6.3</v>
      </c>
      <c r="E14" s="602">
        <v>6.3</v>
      </c>
    </row>
    <row r="15" spans="1:5" x14ac:dyDescent="0.2">
      <c r="A15">
        <v>0.1</v>
      </c>
      <c r="B15" t="s">
        <v>1961</v>
      </c>
      <c r="C15" t="s">
        <v>1961</v>
      </c>
      <c r="D15" s="602">
        <v>7.45</v>
      </c>
      <c r="E15" s="602">
        <v>6.87</v>
      </c>
    </row>
    <row r="16" spans="1:5" x14ac:dyDescent="0.2">
      <c r="A16">
        <v>0.1</v>
      </c>
      <c r="B16" t="s">
        <v>1961</v>
      </c>
      <c r="C16" t="s">
        <v>1961</v>
      </c>
      <c r="D16" s="602">
        <v>8.01</v>
      </c>
      <c r="E16" s="602">
        <v>7.43</v>
      </c>
    </row>
    <row r="17" spans="1:5" x14ac:dyDescent="0.2">
      <c r="A17">
        <v>0.1</v>
      </c>
      <c r="B17" t="s">
        <v>1961</v>
      </c>
      <c r="C17" t="s">
        <v>1961</v>
      </c>
      <c r="D17" s="602">
        <v>8.1199999999999992</v>
      </c>
      <c r="E17" s="602">
        <v>7.84</v>
      </c>
    </row>
    <row r="18" spans="1:5" x14ac:dyDescent="0.2">
      <c r="A18">
        <v>0.1</v>
      </c>
      <c r="B18" t="s">
        <v>1961</v>
      </c>
      <c r="C18" t="s">
        <v>1962</v>
      </c>
      <c r="D18" s="602">
        <v>6.16</v>
      </c>
      <c r="E18" s="588">
        <v>6.16</v>
      </c>
    </row>
    <row r="19" spans="1:5" x14ac:dyDescent="0.2">
      <c r="A19">
        <v>0.25</v>
      </c>
      <c r="B19" t="s">
        <v>1961</v>
      </c>
      <c r="C19" t="s">
        <v>1963</v>
      </c>
      <c r="D19" s="602">
        <v>1.68</v>
      </c>
      <c r="E19" s="603">
        <v>1.96</v>
      </c>
    </row>
    <row r="20" spans="1:5" x14ac:dyDescent="0.2">
      <c r="A20">
        <v>0.25</v>
      </c>
      <c r="B20" t="s">
        <v>1961</v>
      </c>
      <c r="C20" t="s">
        <v>1963</v>
      </c>
      <c r="D20" s="602">
        <v>1.96</v>
      </c>
      <c r="E20" s="603">
        <v>1.96</v>
      </c>
    </row>
    <row r="21" spans="1:5" x14ac:dyDescent="0.2">
      <c r="A21">
        <v>0.25</v>
      </c>
      <c r="B21" t="s">
        <v>1961</v>
      </c>
      <c r="C21" t="s">
        <v>1963</v>
      </c>
      <c r="D21" s="602">
        <v>6.3</v>
      </c>
      <c r="E21" s="603">
        <v>6.07</v>
      </c>
    </row>
    <row r="22" spans="1:5" x14ac:dyDescent="0.2">
      <c r="A22">
        <v>0.25</v>
      </c>
      <c r="B22" t="s">
        <v>1961</v>
      </c>
      <c r="C22" t="s">
        <v>1963</v>
      </c>
      <c r="D22" s="602">
        <v>10.53</v>
      </c>
      <c r="E22" s="603">
        <v>10.06</v>
      </c>
    </row>
    <row r="23" spans="1:5" x14ac:dyDescent="0.2">
      <c r="A23">
        <v>0.25</v>
      </c>
      <c r="B23" t="s">
        <v>1961</v>
      </c>
      <c r="C23" t="s">
        <v>1963</v>
      </c>
      <c r="D23" s="602">
        <v>17.72</v>
      </c>
      <c r="E23" s="603">
        <v>15.57</v>
      </c>
    </row>
    <row r="24" spans="1:5" x14ac:dyDescent="0.2">
      <c r="A24">
        <v>0.25</v>
      </c>
      <c r="B24" t="s">
        <v>1961</v>
      </c>
      <c r="C24" t="s">
        <v>1961</v>
      </c>
      <c r="D24" s="602">
        <v>1</v>
      </c>
      <c r="E24" s="602">
        <v>1</v>
      </c>
    </row>
    <row r="25" spans="1:5" x14ac:dyDescent="0.2">
      <c r="A25">
        <v>0.25</v>
      </c>
      <c r="B25" t="s">
        <v>1961</v>
      </c>
      <c r="C25" t="s">
        <v>1961</v>
      </c>
      <c r="D25" s="602">
        <v>13.75</v>
      </c>
      <c r="E25" s="602">
        <v>11.51</v>
      </c>
    </row>
    <row r="26" spans="1:5" x14ac:dyDescent="0.2">
      <c r="A26">
        <v>0.25</v>
      </c>
      <c r="B26" t="s">
        <v>1961</v>
      </c>
      <c r="C26" t="s">
        <v>1961</v>
      </c>
      <c r="D26" s="602">
        <v>17.61</v>
      </c>
      <c r="E26" s="602">
        <v>19.12</v>
      </c>
    </row>
    <row r="27" spans="1:5" x14ac:dyDescent="0.2">
      <c r="A27">
        <v>0.25</v>
      </c>
      <c r="B27" t="s">
        <v>1961</v>
      </c>
      <c r="C27" t="s">
        <v>1962</v>
      </c>
      <c r="D27" s="602">
        <v>7.84</v>
      </c>
      <c r="E27" s="588">
        <v>8.1199999999999992</v>
      </c>
    </row>
    <row r="28" spans="1:5" x14ac:dyDescent="0.2">
      <c r="A28">
        <v>0.25</v>
      </c>
      <c r="B28" t="s">
        <v>1962</v>
      </c>
      <c r="C28" t="s">
        <v>1963</v>
      </c>
      <c r="D28" s="588">
        <v>1.97</v>
      </c>
      <c r="E28" s="603">
        <v>1.54</v>
      </c>
    </row>
    <row r="29" spans="1:5" x14ac:dyDescent="0.2">
      <c r="A29">
        <v>0.25</v>
      </c>
      <c r="B29" t="s">
        <v>1962</v>
      </c>
      <c r="C29" t="s">
        <v>1963</v>
      </c>
      <c r="D29" s="588">
        <v>3.31</v>
      </c>
      <c r="E29" s="603">
        <v>2.68</v>
      </c>
    </row>
    <row r="30" spans="1:5" x14ac:dyDescent="0.2">
      <c r="A30">
        <v>0.25</v>
      </c>
      <c r="B30" t="s">
        <v>1962</v>
      </c>
      <c r="C30" t="s">
        <v>1963</v>
      </c>
      <c r="D30" s="588">
        <v>4.45</v>
      </c>
      <c r="E30" s="603">
        <v>3.5</v>
      </c>
    </row>
    <row r="31" spans="1:5" x14ac:dyDescent="0.2">
      <c r="A31">
        <v>0.25</v>
      </c>
      <c r="B31" t="s">
        <v>1962</v>
      </c>
      <c r="C31" t="s">
        <v>1963</v>
      </c>
      <c r="D31" s="588">
        <v>5.55</v>
      </c>
      <c r="E31" s="603">
        <v>4.75</v>
      </c>
    </row>
    <row r="32" spans="1:5" x14ac:dyDescent="0.2">
      <c r="A32">
        <v>0.25</v>
      </c>
      <c r="B32" t="s">
        <v>1962</v>
      </c>
      <c r="C32" t="s">
        <v>1963</v>
      </c>
      <c r="D32" s="588">
        <v>6.29</v>
      </c>
      <c r="E32" s="603">
        <v>5.17</v>
      </c>
    </row>
    <row r="33" spans="1:13" x14ac:dyDescent="0.2">
      <c r="A33">
        <v>0.25</v>
      </c>
      <c r="B33" t="s">
        <v>1962</v>
      </c>
      <c r="C33" t="s">
        <v>1963</v>
      </c>
      <c r="D33" s="588">
        <v>6.3</v>
      </c>
      <c r="E33" s="603">
        <v>6.07</v>
      </c>
    </row>
    <row r="34" spans="1:13" x14ac:dyDescent="0.2">
      <c r="A34">
        <v>0.25</v>
      </c>
      <c r="B34" t="s">
        <v>1962</v>
      </c>
      <c r="C34" t="s">
        <v>1963</v>
      </c>
      <c r="D34" s="588">
        <v>7.56</v>
      </c>
      <c r="E34" s="603">
        <v>8.26</v>
      </c>
    </row>
    <row r="35" spans="1:13" x14ac:dyDescent="0.2">
      <c r="A35">
        <v>0.25</v>
      </c>
      <c r="B35" t="s">
        <v>1962</v>
      </c>
      <c r="C35" t="s">
        <v>1963</v>
      </c>
      <c r="D35" s="588">
        <v>8.1199999999999992</v>
      </c>
      <c r="E35" s="603">
        <v>8.82</v>
      </c>
    </row>
    <row r="36" spans="1:13" x14ac:dyDescent="0.2">
      <c r="A36">
        <v>0.25</v>
      </c>
      <c r="B36" t="s">
        <v>1962</v>
      </c>
      <c r="C36" t="s">
        <v>1963</v>
      </c>
      <c r="D36" s="588">
        <v>8.5399999999999991</v>
      </c>
      <c r="E36" s="603">
        <v>7.69</v>
      </c>
    </row>
    <row r="37" spans="1:13" x14ac:dyDescent="0.2">
      <c r="A37">
        <v>0.25</v>
      </c>
      <c r="B37" t="s">
        <v>1962</v>
      </c>
      <c r="C37" t="s">
        <v>1963</v>
      </c>
      <c r="D37" s="588">
        <v>10.75</v>
      </c>
      <c r="E37" s="603">
        <v>10.8</v>
      </c>
    </row>
    <row r="38" spans="1:13" x14ac:dyDescent="0.2">
      <c r="A38">
        <v>0.25</v>
      </c>
      <c r="B38" t="s">
        <v>1962</v>
      </c>
      <c r="C38" t="s">
        <v>1963</v>
      </c>
      <c r="D38" s="588">
        <v>11.45</v>
      </c>
      <c r="E38" s="603">
        <v>10.8</v>
      </c>
    </row>
    <row r="39" spans="1:13" x14ac:dyDescent="0.2">
      <c r="A39">
        <v>0.25</v>
      </c>
      <c r="B39" t="s">
        <v>1962</v>
      </c>
      <c r="C39" t="s">
        <v>1963</v>
      </c>
      <c r="D39" s="588">
        <v>13.9</v>
      </c>
      <c r="E39" s="603">
        <v>11.88</v>
      </c>
    </row>
    <row r="40" spans="1:13" x14ac:dyDescent="0.2">
      <c r="A40">
        <v>0.25</v>
      </c>
      <c r="B40" t="s">
        <v>1962</v>
      </c>
      <c r="C40" t="s">
        <v>1961</v>
      </c>
      <c r="D40" s="588">
        <v>8.1199999999999992</v>
      </c>
      <c r="E40" s="602">
        <v>8.1199999999999992</v>
      </c>
    </row>
    <row r="41" spans="1:13" x14ac:dyDescent="0.2">
      <c r="F41" s="612" t="s">
        <v>1135</v>
      </c>
      <c r="L41" s="612" t="s">
        <v>438</v>
      </c>
    </row>
    <row r="42" spans="1:13" x14ac:dyDescent="0.2">
      <c r="A42">
        <v>950</v>
      </c>
      <c r="B42" t="s">
        <v>408</v>
      </c>
      <c r="C42" t="s">
        <v>1964</v>
      </c>
      <c r="D42" s="607">
        <v>230</v>
      </c>
      <c r="E42" s="604">
        <v>950</v>
      </c>
      <c r="F42" s="613">
        <f>D42*E42</f>
        <v>218500</v>
      </c>
      <c r="H42" s="606">
        <v>23</v>
      </c>
      <c r="I42" s="608">
        <f>D42*H42</f>
        <v>5290</v>
      </c>
      <c r="J42" s="609">
        <f>I42/40</f>
        <v>132.25</v>
      </c>
      <c r="L42" s="613">
        <f>I42*30</f>
        <v>158700</v>
      </c>
      <c r="M42" s="610">
        <f>L42/D42</f>
        <v>690</v>
      </c>
    </row>
    <row r="43" spans="1:13" x14ac:dyDescent="0.2">
      <c r="A43">
        <v>2000</v>
      </c>
      <c r="C43" t="s">
        <v>1965</v>
      </c>
      <c r="D43" s="607">
        <v>105</v>
      </c>
      <c r="E43" s="605">
        <v>2000</v>
      </c>
      <c r="F43" s="613">
        <f>D43*E43</f>
        <v>210000</v>
      </c>
      <c r="H43" s="606">
        <v>45</v>
      </c>
      <c r="I43" s="608">
        <f>D43*H43</f>
        <v>4725</v>
      </c>
      <c r="J43" s="609">
        <f>I43/40</f>
        <v>118.125</v>
      </c>
      <c r="L43" s="613">
        <f>I43*30</f>
        <v>141750</v>
      </c>
      <c r="M43" s="610">
        <f>L43/D43</f>
        <v>1350</v>
      </c>
    </row>
    <row r="44" spans="1:13" x14ac:dyDescent="0.2">
      <c r="F44" s="614">
        <f>SUM(F42:F43)</f>
        <v>428500</v>
      </c>
      <c r="L44" s="614">
        <f>SUM(L42:L43)</f>
        <v>300450</v>
      </c>
    </row>
    <row r="45" spans="1:13" x14ac:dyDescent="0.2">
      <c r="F45" s="614"/>
      <c r="L45" s="614"/>
    </row>
    <row r="46" spans="1:13" x14ac:dyDescent="0.2">
      <c r="B46" t="s">
        <v>1920</v>
      </c>
      <c r="C46" t="s">
        <v>1964</v>
      </c>
      <c r="D46" s="607">
        <v>230</v>
      </c>
      <c r="E46" s="604">
        <v>1750</v>
      </c>
      <c r="F46" s="613">
        <f>D46*E46</f>
        <v>402500</v>
      </c>
      <c r="H46" s="606">
        <v>23</v>
      </c>
      <c r="I46" s="608">
        <f>D46*H46</f>
        <v>5290</v>
      </c>
      <c r="J46" s="609">
        <f>I46/40</f>
        <v>132.25</v>
      </c>
      <c r="L46" s="613">
        <f>I46*30</f>
        <v>158700</v>
      </c>
      <c r="M46" s="610">
        <f>L46/D46</f>
        <v>690</v>
      </c>
    </row>
    <row r="47" spans="1:13" x14ac:dyDescent="0.2">
      <c r="C47" t="s">
        <v>1965</v>
      </c>
      <c r="D47" s="607">
        <v>105</v>
      </c>
      <c r="E47" s="605">
        <v>3400</v>
      </c>
      <c r="F47" s="613">
        <f>D47*E47</f>
        <v>357000</v>
      </c>
      <c r="H47" s="606">
        <v>45</v>
      </c>
      <c r="I47" s="608">
        <f>D47*H47</f>
        <v>4725</v>
      </c>
      <c r="J47" s="609">
        <f>I47/40</f>
        <v>118.125</v>
      </c>
      <c r="L47" s="613">
        <f>I47*30</f>
        <v>141750</v>
      </c>
      <c r="M47" s="610">
        <f>L47/D47</f>
        <v>1350</v>
      </c>
    </row>
    <row r="48" spans="1:13" x14ac:dyDescent="0.2">
      <c r="F48" s="614">
        <f>SUM(F46:F47)</f>
        <v>759500</v>
      </c>
      <c r="L48" s="614">
        <f>SUM(L46:L47)</f>
        <v>300450</v>
      </c>
    </row>
    <row r="50" spans="3:9" x14ac:dyDescent="0.2">
      <c r="C50" t="s">
        <v>1981</v>
      </c>
    </row>
    <row r="51" spans="3:9" x14ac:dyDescent="0.2">
      <c r="C51" t="s">
        <v>1982</v>
      </c>
      <c r="I51" s="82"/>
    </row>
    <row r="53" spans="3:9" x14ac:dyDescent="0.2">
      <c r="C53" s="474" t="s">
        <v>1108</v>
      </c>
    </row>
    <row r="54" spans="3:9" x14ac:dyDescent="0.2">
      <c r="C54" s="474" t="s">
        <v>1109</v>
      </c>
    </row>
    <row r="55" spans="3:9" x14ac:dyDescent="0.2">
      <c r="C55" s="474" t="s">
        <v>1110</v>
      </c>
    </row>
    <row r="56" spans="3:9" x14ac:dyDescent="0.2">
      <c r="C56" s="474" t="s">
        <v>1111</v>
      </c>
    </row>
    <row r="57" spans="3:9" x14ac:dyDescent="0.2">
      <c r="C57" s="474" t="s">
        <v>1112</v>
      </c>
    </row>
    <row r="58" spans="3:9" x14ac:dyDescent="0.2">
      <c r="C58" s="474" t="s">
        <v>1113</v>
      </c>
    </row>
    <row r="59" spans="3:9" x14ac:dyDescent="0.2">
      <c r="C59" s="474" t="s">
        <v>1114</v>
      </c>
    </row>
    <row r="60" spans="3:9" x14ac:dyDescent="0.2">
      <c r="C60" s="474" t="s">
        <v>1115</v>
      </c>
    </row>
    <row r="61" spans="3:9" x14ac:dyDescent="0.2">
      <c r="C61" s="474" t="s">
        <v>1116</v>
      </c>
    </row>
    <row r="62" spans="3:9" x14ac:dyDescent="0.2">
      <c r="C62" s="474" t="s">
        <v>1117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Munka44"/>
  <dimension ref="B1:I97"/>
  <sheetViews>
    <sheetView view="pageBreakPreview" topLeftCell="A22" workbookViewId="0">
      <selection activeCell="B47" sqref="B47"/>
    </sheetView>
  </sheetViews>
  <sheetFormatPr defaultRowHeight="12.75" x14ac:dyDescent="0.2"/>
  <cols>
    <col min="1" max="1" width="4.28515625" style="576" customWidth="1"/>
    <col min="2" max="2" width="60" style="580" customWidth="1"/>
    <col min="3" max="3" width="17" style="472" customWidth="1"/>
    <col min="4" max="5" width="13" style="575" customWidth="1"/>
    <col min="6" max="9" width="7.5703125" style="576" hidden="1" customWidth="1"/>
    <col min="10" max="16384" width="9.140625" style="576"/>
  </cols>
  <sheetData>
    <row r="1" spans="2:9" ht="15.75" customHeight="1" x14ac:dyDescent="0.2"/>
    <row r="2" spans="2:9" ht="47.25" customHeight="1" x14ac:dyDescent="0.2">
      <c r="B2" s="1137" t="s">
        <v>1278</v>
      </c>
      <c r="C2" s="1137"/>
      <c r="D2" s="1137"/>
      <c r="E2" s="1137"/>
    </row>
    <row r="3" spans="2:9" ht="15" x14ac:dyDescent="0.25">
      <c r="B3" s="581" t="s">
        <v>1270</v>
      </c>
      <c r="C3" s="473" t="s">
        <v>1277</v>
      </c>
      <c r="D3" s="574"/>
    </row>
    <row r="4" spans="2:9" ht="15" x14ac:dyDescent="0.25">
      <c r="B4" s="581" t="s">
        <v>1274</v>
      </c>
      <c r="C4" s="473" t="s">
        <v>1275</v>
      </c>
      <c r="D4" s="574"/>
    </row>
    <row r="5" spans="2:9" ht="15" x14ac:dyDescent="0.25">
      <c r="B5" s="581" t="s">
        <v>1273</v>
      </c>
      <c r="C5" s="473" t="s">
        <v>1276</v>
      </c>
      <c r="D5" s="574"/>
    </row>
    <row r="6" spans="2:9" ht="15" x14ac:dyDescent="0.25">
      <c r="B6" s="581" t="s">
        <v>1269</v>
      </c>
      <c r="C6" s="577">
        <v>110</v>
      </c>
      <c r="D6" s="574"/>
    </row>
    <row r="7" spans="2:9" ht="15" x14ac:dyDescent="0.25">
      <c r="B7" s="581" t="s">
        <v>1271</v>
      </c>
      <c r="C7" s="578">
        <f>C93</f>
        <v>21360000</v>
      </c>
      <c r="D7" s="574"/>
    </row>
    <row r="8" spans="2:9" ht="15" x14ac:dyDescent="0.25">
      <c r="B8" s="581" t="s">
        <v>1272</v>
      </c>
      <c r="C8" s="579">
        <f>C7/C6</f>
        <v>194181.81818181818</v>
      </c>
      <c r="D8" s="574"/>
    </row>
    <row r="9" spans="2:9" ht="13.5" thickBot="1" x14ac:dyDescent="0.25"/>
    <row r="10" spans="2:9" ht="31.5" customHeight="1" x14ac:dyDescent="0.2">
      <c r="B10" s="519" t="s">
        <v>1176</v>
      </c>
      <c r="C10" s="520" t="s">
        <v>1178</v>
      </c>
      <c r="D10" s="1135" t="s">
        <v>1180</v>
      </c>
      <c r="E10" s="1136"/>
      <c r="F10" s="522"/>
      <c r="G10" s="522"/>
      <c r="H10" s="522"/>
      <c r="I10" s="521"/>
    </row>
    <row r="11" spans="2:9" ht="27.75" customHeight="1" x14ac:dyDescent="0.2">
      <c r="B11" s="523" t="s">
        <v>1177</v>
      </c>
      <c r="C11" s="524" t="s">
        <v>1179</v>
      </c>
      <c r="D11" s="1140" t="s">
        <v>1181</v>
      </c>
      <c r="E11" s="1142" t="s">
        <v>1182</v>
      </c>
      <c r="F11" s="1144" t="s">
        <v>1183</v>
      </c>
      <c r="G11" s="1144"/>
      <c r="H11" s="1144"/>
      <c r="I11" s="1145"/>
    </row>
    <row r="12" spans="2:9" ht="19.5" customHeight="1" thickBot="1" x14ac:dyDescent="0.25">
      <c r="B12" s="582"/>
      <c r="C12" s="525"/>
      <c r="D12" s="1141"/>
      <c r="E12" s="1143"/>
      <c r="F12" s="526">
        <v>1</v>
      </c>
      <c r="G12" s="527">
        <v>2</v>
      </c>
      <c r="H12" s="527">
        <v>3</v>
      </c>
      <c r="I12" s="528">
        <v>4</v>
      </c>
    </row>
    <row r="13" spans="2:9" ht="18" customHeight="1" thickBot="1" x14ac:dyDescent="0.25">
      <c r="B13" s="583" t="s">
        <v>1184</v>
      </c>
      <c r="C13" s="529" t="s">
        <v>1185</v>
      </c>
      <c r="D13" s="530" t="s">
        <v>1186</v>
      </c>
      <c r="E13" s="531" t="s">
        <v>1187</v>
      </c>
      <c r="F13" s="1138" t="s">
        <v>1188</v>
      </c>
      <c r="G13" s="1138"/>
      <c r="H13" s="1138"/>
      <c r="I13" s="1139"/>
    </row>
    <row r="14" spans="2:9" ht="13.5" customHeight="1" x14ac:dyDescent="0.2">
      <c r="B14" s="584" t="s">
        <v>1189</v>
      </c>
      <c r="C14" s="532">
        <v>450000</v>
      </c>
      <c r="D14" s="533">
        <v>2.8</v>
      </c>
      <c r="E14" s="534">
        <f>C14/$C$93*100</f>
        <v>2.106741573033708</v>
      </c>
      <c r="F14" s="535"/>
      <c r="G14" s="535"/>
      <c r="H14" s="535"/>
      <c r="I14" s="536"/>
    </row>
    <row r="15" spans="2:9" ht="13.5" customHeight="1" x14ac:dyDescent="0.2">
      <c r="B15" s="545" t="s">
        <v>1261</v>
      </c>
      <c r="C15" s="537"/>
      <c r="D15" s="538"/>
      <c r="E15" s="539"/>
      <c r="F15" s="540"/>
      <c r="G15" s="540"/>
      <c r="H15" s="540"/>
      <c r="I15" s="541"/>
    </row>
    <row r="16" spans="2:9" ht="13.5" customHeight="1" x14ac:dyDescent="0.2">
      <c r="B16" s="545" t="s">
        <v>1206</v>
      </c>
      <c r="C16" s="537"/>
      <c r="D16" s="538"/>
      <c r="E16" s="539"/>
      <c r="F16" s="540"/>
      <c r="G16" s="540"/>
      <c r="H16" s="540"/>
      <c r="I16" s="541"/>
    </row>
    <row r="17" spans="2:9" ht="13.5" customHeight="1" x14ac:dyDescent="0.2">
      <c r="B17" s="545" t="s">
        <v>1207</v>
      </c>
      <c r="C17" s="537"/>
      <c r="D17" s="538"/>
      <c r="E17" s="539"/>
      <c r="F17" s="540"/>
      <c r="G17" s="540"/>
      <c r="H17" s="540"/>
      <c r="I17" s="541"/>
    </row>
    <row r="18" spans="2:9" ht="13.5" customHeight="1" x14ac:dyDescent="0.2">
      <c r="B18" s="585" t="s">
        <v>1190</v>
      </c>
      <c r="C18" s="542">
        <v>300000</v>
      </c>
      <c r="D18" s="543">
        <v>1.6</v>
      </c>
      <c r="E18" s="544">
        <f>C18/$C$93*100</f>
        <v>1.4044943820224718</v>
      </c>
      <c r="F18" s="535"/>
      <c r="G18" s="535"/>
      <c r="H18" s="535"/>
      <c r="I18" s="536"/>
    </row>
    <row r="19" spans="2:9" ht="13.5" customHeight="1" x14ac:dyDescent="0.2">
      <c r="B19" s="545" t="s">
        <v>1208</v>
      </c>
      <c r="C19" s="537"/>
      <c r="D19" s="538"/>
      <c r="E19" s="539"/>
      <c r="F19" s="540"/>
      <c r="G19" s="540"/>
      <c r="H19" s="540"/>
      <c r="I19" s="541"/>
    </row>
    <row r="20" spans="2:9" ht="13.5" customHeight="1" x14ac:dyDescent="0.2">
      <c r="B20" s="545" t="s">
        <v>1209</v>
      </c>
      <c r="C20" s="537"/>
      <c r="D20" s="538"/>
      <c r="E20" s="539"/>
      <c r="F20" s="540"/>
      <c r="G20" s="540"/>
      <c r="H20" s="540"/>
      <c r="I20" s="541"/>
    </row>
    <row r="21" spans="2:9" ht="13.5" customHeight="1" x14ac:dyDescent="0.2">
      <c r="B21" s="585" t="s">
        <v>1191</v>
      </c>
      <c r="C21" s="542">
        <v>1500000</v>
      </c>
      <c r="D21" s="543">
        <v>4.4000000000000004</v>
      </c>
      <c r="E21" s="544">
        <f>C21/$C$93*100</f>
        <v>7.02247191011236</v>
      </c>
      <c r="F21" s="535"/>
      <c r="G21" s="535"/>
      <c r="H21" s="535"/>
      <c r="I21" s="536"/>
    </row>
    <row r="22" spans="2:9" ht="13.5" customHeight="1" x14ac:dyDescent="0.2">
      <c r="B22" s="545" t="s">
        <v>1210</v>
      </c>
      <c r="C22" s="537"/>
      <c r="D22" s="538"/>
      <c r="E22" s="539"/>
      <c r="F22" s="540"/>
      <c r="G22" s="540"/>
      <c r="H22" s="540"/>
      <c r="I22" s="541"/>
    </row>
    <row r="23" spans="2:9" ht="13.5" customHeight="1" x14ac:dyDescent="0.2">
      <c r="B23" s="585" t="s">
        <v>1192</v>
      </c>
      <c r="C23" s="542">
        <v>2230000</v>
      </c>
      <c r="D23" s="543">
        <v>11.4</v>
      </c>
      <c r="E23" s="544">
        <f>C23/$C$93*100</f>
        <v>10.440074906367041</v>
      </c>
      <c r="F23" s="535"/>
      <c r="G23" s="535"/>
      <c r="H23" s="535"/>
      <c r="I23" s="536"/>
    </row>
    <row r="24" spans="2:9" ht="13.5" customHeight="1" x14ac:dyDescent="0.2">
      <c r="B24" s="545" t="s">
        <v>1211</v>
      </c>
      <c r="C24" s="546"/>
      <c r="D24" s="547"/>
      <c r="E24" s="548"/>
      <c r="F24" s="540"/>
      <c r="G24" s="549"/>
      <c r="H24" s="549"/>
      <c r="I24" s="550"/>
    </row>
    <row r="25" spans="2:9" ht="13.5" customHeight="1" x14ac:dyDescent="0.2">
      <c r="B25" s="545" t="s">
        <v>1212</v>
      </c>
      <c r="C25" s="546"/>
      <c r="D25" s="547"/>
      <c r="E25" s="548"/>
      <c r="F25" s="540"/>
      <c r="G25" s="549"/>
      <c r="H25" s="549"/>
      <c r="I25" s="550"/>
    </row>
    <row r="26" spans="2:9" ht="13.5" customHeight="1" x14ac:dyDescent="0.2">
      <c r="B26" s="545" t="s">
        <v>1213</v>
      </c>
      <c r="C26" s="546"/>
      <c r="D26" s="547"/>
      <c r="E26" s="548"/>
      <c r="F26" s="540"/>
      <c r="G26" s="549"/>
      <c r="H26" s="549"/>
      <c r="I26" s="550"/>
    </row>
    <row r="27" spans="2:9" ht="13.5" customHeight="1" x14ac:dyDescent="0.2">
      <c r="B27" s="545" t="s">
        <v>1214</v>
      </c>
      <c r="C27" s="551"/>
      <c r="D27" s="552"/>
      <c r="E27" s="553"/>
      <c r="F27" s="554"/>
      <c r="G27" s="555"/>
      <c r="H27" s="555"/>
      <c r="I27" s="556"/>
    </row>
    <row r="28" spans="2:9" ht="13.5" customHeight="1" x14ac:dyDescent="0.2">
      <c r="B28" s="585" t="s">
        <v>1193</v>
      </c>
      <c r="C28" s="542">
        <v>750000</v>
      </c>
      <c r="D28" s="543">
        <v>2.2999999999999998</v>
      </c>
      <c r="E28" s="544">
        <f>C28/$C$93*100</f>
        <v>3.51123595505618</v>
      </c>
      <c r="F28" s="535"/>
      <c r="G28" s="535"/>
      <c r="H28" s="535"/>
      <c r="I28" s="536"/>
    </row>
    <row r="29" spans="2:9" ht="27" customHeight="1" x14ac:dyDescent="0.2">
      <c r="B29" s="545" t="s">
        <v>1268</v>
      </c>
      <c r="C29" s="546"/>
      <c r="D29" s="547"/>
      <c r="E29" s="548"/>
      <c r="F29" s="540"/>
      <c r="G29" s="549"/>
      <c r="H29" s="549"/>
      <c r="I29" s="550"/>
    </row>
    <row r="30" spans="2:9" ht="13.5" customHeight="1" x14ac:dyDescent="0.2">
      <c r="B30" s="585" t="s">
        <v>1194</v>
      </c>
      <c r="C30" s="557">
        <v>2100000</v>
      </c>
      <c r="D30" s="558">
        <v>13.2</v>
      </c>
      <c r="E30" s="544">
        <f>C30/$C$93*100</f>
        <v>9.8314606741573041</v>
      </c>
      <c r="F30" s="535"/>
      <c r="G30" s="559"/>
      <c r="H30" s="559"/>
      <c r="I30" s="560"/>
    </row>
    <row r="31" spans="2:9" ht="13.5" customHeight="1" x14ac:dyDescent="0.2">
      <c r="B31" s="545" t="s">
        <v>1215</v>
      </c>
      <c r="C31" s="561"/>
      <c r="D31" s="562"/>
      <c r="E31" s="563"/>
      <c r="F31" s="540"/>
      <c r="G31" s="549"/>
      <c r="H31" s="549"/>
      <c r="I31" s="550"/>
    </row>
    <row r="32" spans="2:9" ht="13.5" customHeight="1" x14ac:dyDescent="0.2">
      <c r="B32" s="545" t="s">
        <v>1216</v>
      </c>
      <c r="C32" s="561"/>
      <c r="D32" s="562"/>
      <c r="E32" s="563"/>
      <c r="F32" s="540"/>
      <c r="G32" s="549"/>
      <c r="H32" s="549"/>
      <c r="I32" s="550"/>
    </row>
    <row r="33" spans="2:9" ht="13.5" customHeight="1" x14ac:dyDescent="0.2">
      <c r="B33" s="545" t="s">
        <v>1217</v>
      </c>
      <c r="C33" s="564"/>
      <c r="D33" s="565"/>
      <c r="E33" s="566"/>
      <c r="F33" s="554"/>
      <c r="G33" s="555"/>
      <c r="H33" s="555"/>
      <c r="I33" s="556"/>
    </row>
    <row r="34" spans="2:9" ht="13.5" customHeight="1" x14ac:dyDescent="0.2">
      <c r="B34" s="585" t="s">
        <v>1195</v>
      </c>
      <c r="C34" s="557">
        <v>1800000</v>
      </c>
      <c r="D34" s="558">
        <v>4.4000000000000004</v>
      </c>
      <c r="E34" s="544">
        <f>C34/$C$93*100</f>
        <v>8.4269662921348321</v>
      </c>
      <c r="F34" s="535"/>
      <c r="G34" s="559"/>
      <c r="H34" s="559"/>
      <c r="I34" s="560"/>
    </row>
    <row r="35" spans="2:9" ht="13.5" customHeight="1" x14ac:dyDescent="0.2">
      <c r="B35" s="545" t="s">
        <v>1218</v>
      </c>
      <c r="C35" s="561"/>
      <c r="D35" s="562"/>
      <c r="E35" s="563"/>
      <c r="F35" s="540"/>
      <c r="G35" s="549"/>
      <c r="H35" s="549"/>
      <c r="I35" s="550"/>
    </row>
    <row r="36" spans="2:9" ht="13.5" customHeight="1" x14ac:dyDescent="0.2">
      <c r="B36" s="545" t="s">
        <v>1219</v>
      </c>
      <c r="C36" s="561"/>
      <c r="D36" s="562"/>
      <c r="E36" s="563"/>
      <c r="F36" s="540"/>
      <c r="G36" s="549"/>
      <c r="H36" s="549"/>
      <c r="I36" s="550"/>
    </row>
    <row r="37" spans="2:9" ht="13.5" customHeight="1" x14ac:dyDescent="0.2">
      <c r="B37" s="545" t="s">
        <v>1220</v>
      </c>
      <c r="C37" s="564"/>
      <c r="D37" s="565"/>
      <c r="E37" s="566"/>
      <c r="F37" s="554"/>
      <c r="G37" s="555"/>
      <c r="H37" s="555"/>
      <c r="I37" s="556"/>
    </row>
    <row r="38" spans="2:9" ht="13.5" customHeight="1" x14ac:dyDescent="0.2">
      <c r="B38" s="585" t="s">
        <v>626</v>
      </c>
      <c r="C38" s="557">
        <v>1100000</v>
      </c>
      <c r="D38" s="558">
        <v>5.4</v>
      </c>
      <c r="E38" s="544">
        <f>C38/$C$93*100</f>
        <v>5.1498127340823974</v>
      </c>
      <c r="F38" s="535"/>
      <c r="G38" s="559"/>
      <c r="H38" s="559"/>
      <c r="I38" s="560"/>
    </row>
    <row r="39" spans="2:9" ht="13.5" customHeight="1" x14ac:dyDescent="0.2">
      <c r="B39" s="545" t="s">
        <v>1221</v>
      </c>
      <c r="C39" s="561"/>
      <c r="D39" s="562"/>
      <c r="E39" s="563"/>
      <c r="F39" s="540"/>
      <c r="G39" s="549"/>
      <c r="H39" s="549"/>
      <c r="I39" s="550"/>
    </row>
    <row r="40" spans="2:9" ht="13.5" customHeight="1" x14ac:dyDescent="0.2">
      <c r="B40" s="545" t="s">
        <v>1222</v>
      </c>
      <c r="C40" s="561"/>
      <c r="D40" s="562"/>
      <c r="E40" s="563"/>
      <c r="F40" s="540"/>
      <c r="G40" s="549"/>
      <c r="H40" s="549"/>
      <c r="I40" s="550"/>
    </row>
    <row r="41" spans="2:9" ht="13.5" customHeight="1" x14ac:dyDescent="0.2">
      <c r="B41" s="545" t="s">
        <v>1223</v>
      </c>
      <c r="C41" s="564"/>
      <c r="D41" s="565"/>
      <c r="E41" s="566"/>
      <c r="F41" s="554"/>
      <c r="G41" s="555"/>
      <c r="H41" s="555"/>
      <c r="I41" s="556"/>
    </row>
    <row r="42" spans="2:9" ht="13.5" customHeight="1" x14ac:dyDescent="0.2">
      <c r="B42" s="585" t="s">
        <v>1196</v>
      </c>
      <c r="C42" s="557">
        <v>700000</v>
      </c>
      <c r="D42" s="558">
        <v>6.2</v>
      </c>
      <c r="E42" s="544">
        <f>C42/$C$93*100</f>
        <v>3.2771535580524342</v>
      </c>
      <c r="F42" s="535"/>
      <c r="G42" s="559"/>
      <c r="H42" s="559"/>
      <c r="I42" s="560"/>
    </row>
    <row r="43" spans="2:9" ht="13.5" customHeight="1" x14ac:dyDescent="0.2">
      <c r="B43" s="545" t="s">
        <v>1224</v>
      </c>
      <c r="C43" s="561"/>
      <c r="D43" s="562"/>
      <c r="E43" s="563"/>
      <c r="F43" s="540"/>
      <c r="G43" s="549"/>
      <c r="H43" s="549"/>
      <c r="I43" s="550"/>
    </row>
    <row r="44" spans="2:9" ht="13.5" customHeight="1" x14ac:dyDescent="0.2">
      <c r="B44" s="545" t="s">
        <v>1225</v>
      </c>
      <c r="C44" s="564"/>
      <c r="D44" s="565"/>
      <c r="E44" s="566"/>
      <c r="F44" s="554"/>
      <c r="G44" s="555"/>
      <c r="H44" s="555"/>
      <c r="I44" s="556"/>
    </row>
    <row r="45" spans="2:9" ht="13.5" customHeight="1" x14ac:dyDescent="0.2">
      <c r="B45" s="585" t="s">
        <v>669</v>
      </c>
      <c r="C45" s="557">
        <v>1400000</v>
      </c>
      <c r="D45" s="558">
        <v>8.3000000000000007</v>
      </c>
      <c r="E45" s="544">
        <f>C45/$C$93*100</f>
        <v>6.5543071161048685</v>
      </c>
      <c r="F45" s="535"/>
      <c r="G45" s="559"/>
      <c r="H45" s="559"/>
      <c r="I45" s="560"/>
    </row>
    <row r="46" spans="2:9" ht="13.5" customHeight="1" x14ac:dyDescent="0.2">
      <c r="B46" s="545" t="s">
        <v>1226</v>
      </c>
      <c r="C46" s="561"/>
      <c r="D46" s="562"/>
      <c r="E46" s="563"/>
      <c r="F46" s="540"/>
      <c r="G46" s="549"/>
      <c r="H46" s="549"/>
      <c r="I46" s="550"/>
    </row>
    <row r="47" spans="2:9" ht="13.5" customHeight="1" x14ac:dyDescent="0.2">
      <c r="B47" s="545" t="s">
        <v>1227</v>
      </c>
      <c r="C47" s="561"/>
      <c r="D47" s="562"/>
      <c r="E47" s="563"/>
      <c r="F47" s="540"/>
      <c r="G47" s="549"/>
      <c r="H47" s="549"/>
      <c r="I47" s="550"/>
    </row>
    <row r="48" spans="2:9" ht="13.5" customHeight="1" x14ac:dyDescent="0.2">
      <c r="B48" s="545" t="s">
        <v>1228</v>
      </c>
      <c r="C48" s="561"/>
      <c r="D48" s="562"/>
      <c r="E48" s="563"/>
      <c r="F48" s="540"/>
      <c r="G48" s="549"/>
      <c r="H48" s="549"/>
      <c r="I48" s="550"/>
    </row>
    <row r="49" spans="2:9" ht="13.5" customHeight="1" x14ac:dyDescent="0.2">
      <c r="B49" s="545" t="s">
        <v>1229</v>
      </c>
      <c r="C49" s="561"/>
      <c r="D49" s="562"/>
      <c r="E49" s="563"/>
      <c r="F49" s="540"/>
      <c r="G49" s="549"/>
      <c r="H49" s="549"/>
      <c r="I49" s="550"/>
    </row>
    <row r="50" spans="2:9" ht="13.5" customHeight="1" x14ac:dyDescent="0.2">
      <c r="B50" s="586" t="s">
        <v>1230</v>
      </c>
      <c r="C50" s="564"/>
      <c r="D50" s="565"/>
      <c r="E50" s="566"/>
      <c r="F50" s="554"/>
      <c r="G50" s="555"/>
      <c r="H50" s="555"/>
      <c r="I50" s="556"/>
    </row>
    <row r="51" spans="2:9" ht="13.5" customHeight="1" x14ac:dyDescent="0.2">
      <c r="B51" s="584" t="s">
        <v>1197</v>
      </c>
      <c r="C51" s="557">
        <v>250000</v>
      </c>
      <c r="D51" s="558">
        <v>1.5</v>
      </c>
      <c r="E51" s="544">
        <f>C51/$C$93*100</f>
        <v>1.1704119850187267</v>
      </c>
      <c r="F51" s="535"/>
      <c r="G51" s="559"/>
      <c r="H51" s="559"/>
      <c r="I51" s="560"/>
    </row>
    <row r="52" spans="2:9" ht="13.5" customHeight="1" x14ac:dyDescent="0.2">
      <c r="B52" s="545" t="s">
        <v>1231</v>
      </c>
      <c r="C52" s="561"/>
      <c r="D52" s="562"/>
      <c r="E52" s="563"/>
      <c r="F52" s="540"/>
      <c r="G52" s="549"/>
      <c r="H52" s="549"/>
      <c r="I52" s="550"/>
    </row>
    <row r="53" spans="2:9" ht="13.5" customHeight="1" x14ac:dyDescent="0.2">
      <c r="B53" s="545" t="s">
        <v>1232</v>
      </c>
      <c r="C53" s="561"/>
      <c r="D53" s="562"/>
      <c r="E53" s="563"/>
      <c r="F53" s="540"/>
      <c r="G53" s="549"/>
      <c r="H53" s="549"/>
      <c r="I53" s="550"/>
    </row>
    <row r="54" spans="2:9" ht="13.5" customHeight="1" x14ac:dyDescent="0.2">
      <c r="B54" s="586" t="s">
        <v>1233</v>
      </c>
      <c r="C54" s="564"/>
      <c r="D54" s="565"/>
      <c r="E54" s="566"/>
      <c r="F54" s="554"/>
      <c r="G54" s="555"/>
      <c r="H54" s="555"/>
      <c r="I54" s="556"/>
    </row>
    <row r="55" spans="2:9" ht="13.5" customHeight="1" x14ac:dyDescent="0.2">
      <c r="B55" s="584" t="s">
        <v>1198</v>
      </c>
      <c r="C55" s="557">
        <v>2500000</v>
      </c>
      <c r="D55" s="558">
        <v>14.4</v>
      </c>
      <c r="E55" s="544">
        <f>C55/$C$93*100</f>
        <v>11.704119850187265</v>
      </c>
      <c r="F55" s="535"/>
      <c r="G55" s="559"/>
      <c r="H55" s="559"/>
      <c r="I55" s="560"/>
    </row>
    <row r="56" spans="2:9" ht="13.5" customHeight="1" x14ac:dyDescent="0.2">
      <c r="B56" s="545" t="s">
        <v>1234</v>
      </c>
      <c r="C56" s="561"/>
      <c r="D56" s="562"/>
      <c r="E56" s="563"/>
      <c r="F56" s="540"/>
      <c r="G56" s="549"/>
      <c r="H56" s="549"/>
      <c r="I56" s="550"/>
    </row>
    <row r="57" spans="2:9" ht="15" x14ac:dyDescent="0.2">
      <c r="B57" s="545" t="s">
        <v>1235</v>
      </c>
      <c r="C57" s="561"/>
      <c r="D57" s="562"/>
      <c r="E57" s="563"/>
      <c r="F57" s="540"/>
      <c r="G57" s="549"/>
      <c r="H57" s="549"/>
      <c r="I57" s="550"/>
    </row>
    <row r="58" spans="2:9" ht="13.5" customHeight="1" x14ac:dyDescent="0.2">
      <c r="B58" s="586" t="s">
        <v>1236</v>
      </c>
      <c r="C58" s="564"/>
      <c r="D58" s="565"/>
      <c r="E58" s="566"/>
      <c r="F58" s="554"/>
      <c r="G58" s="555"/>
      <c r="H58" s="555"/>
      <c r="I58" s="556"/>
    </row>
    <row r="59" spans="2:9" ht="13.5" customHeight="1" x14ac:dyDescent="0.2">
      <c r="B59" s="585" t="s">
        <v>1266</v>
      </c>
      <c r="C59" s="557">
        <v>0</v>
      </c>
      <c r="D59" s="558">
        <v>3.5</v>
      </c>
      <c r="E59" s="544">
        <f>C59/$C$93*100</f>
        <v>0</v>
      </c>
      <c r="F59" s="535"/>
      <c r="G59" s="559"/>
      <c r="H59" s="559"/>
      <c r="I59" s="560"/>
    </row>
    <row r="60" spans="2:9" ht="13.5" customHeight="1" x14ac:dyDescent="0.2">
      <c r="B60" s="545" t="s">
        <v>1237</v>
      </c>
      <c r="C60" s="567"/>
      <c r="D60" s="562"/>
      <c r="E60" s="548"/>
      <c r="F60" s="540"/>
      <c r="G60" s="549"/>
      <c r="H60" s="549"/>
      <c r="I60" s="550"/>
    </row>
    <row r="61" spans="2:9" ht="13.5" customHeight="1" x14ac:dyDescent="0.2">
      <c r="B61" s="545" t="s">
        <v>1238</v>
      </c>
      <c r="C61" s="567"/>
      <c r="D61" s="562"/>
      <c r="E61" s="548"/>
      <c r="F61" s="540"/>
      <c r="G61" s="549"/>
      <c r="H61" s="549"/>
      <c r="I61" s="550"/>
    </row>
    <row r="62" spans="2:9" ht="13.5" customHeight="1" x14ac:dyDescent="0.2">
      <c r="B62" s="586" t="s">
        <v>1239</v>
      </c>
      <c r="C62" s="568"/>
      <c r="D62" s="565"/>
      <c r="E62" s="553"/>
      <c r="F62" s="554"/>
      <c r="G62" s="555"/>
      <c r="H62" s="555"/>
      <c r="I62" s="556"/>
    </row>
    <row r="63" spans="2:9" ht="13.5" customHeight="1" x14ac:dyDescent="0.2">
      <c r="B63" s="584" t="s">
        <v>1199</v>
      </c>
      <c r="C63" s="557">
        <v>0</v>
      </c>
      <c r="D63" s="558">
        <v>0.3</v>
      </c>
      <c r="E63" s="544">
        <f>C63/$C$93*100</f>
        <v>0</v>
      </c>
      <c r="F63" s="535"/>
      <c r="G63" s="559"/>
      <c r="H63" s="559"/>
      <c r="I63" s="560"/>
    </row>
    <row r="64" spans="2:9" ht="13.5" customHeight="1" x14ac:dyDescent="0.2">
      <c r="B64" s="586" t="s">
        <v>1267</v>
      </c>
      <c r="C64" s="568"/>
      <c r="D64" s="565"/>
      <c r="E64" s="553"/>
      <c r="F64" s="554"/>
      <c r="G64" s="555"/>
      <c r="H64" s="555"/>
      <c r="I64" s="556"/>
    </row>
    <row r="65" spans="2:9" ht="13.5" customHeight="1" x14ac:dyDescent="0.2">
      <c r="B65" s="584" t="s">
        <v>1200</v>
      </c>
      <c r="C65" s="561">
        <v>400000</v>
      </c>
      <c r="D65" s="562">
        <v>1.8</v>
      </c>
      <c r="E65" s="534">
        <f>C65/$C$93*100</f>
        <v>1.8726591760299627</v>
      </c>
      <c r="F65" s="540"/>
      <c r="G65" s="549"/>
      <c r="H65" s="549"/>
      <c r="I65" s="550"/>
    </row>
    <row r="66" spans="2:9" ht="13.5" customHeight="1" x14ac:dyDescent="0.2">
      <c r="B66" s="545" t="s">
        <v>1240</v>
      </c>
      <c r="C66" s="561"/>
      <c r="D66" s="562"/>
      <c r="E66" s="563"/>
      <c r="F66" s="540"/>
      <c r="G66" s="549"/>
      <c r="H66" s="549"/>
      <c r="I66" s="550"/>
    </row>
    <row r="67" spans="2:9" ht="13.5" customHeight="1" x14ac:dyDescent="0.2">
      <c r="B67" s="545" t="s">
        <v>1241</v>
      </c>
      <c r="C67" s="561"/>
      <c r="D67" s="562"/>
      <c r="E67" s="563"/>
      <c r="F67" s="540"/>
      <c r="G67" s="549"/>
      <c r="H67" s="549"/>
      <c r="I67" s="550"/>
    </row>
    <row r="68" spans="2:9" ht="13.5" customHeight="1" x14ac:dyDescent="0.2">
      <c r="B68" s="545" t="s">
        <v>1242</v>
      </c>
      <c r="C68" s="564"/>
      <c r="D68" s="565"/>
      <c r="E68" s="566"/>
      <c r="F68" s="554"/>
      <c r="G68" s="555"/>
      <c r="H68" s="555"/>
      <c r="I68" s="556"/>
    </row>
    <row r="69" spans="2:9" ht="13.5" customHeight="1" x14ac:dyDescent="0.2">
      <c r="B69" s="585" t="s">
        <v>1201</v>
      </c>
      <c r="C69" s="557">
        <v>1800000</v>
      </c>
      <c r="D69" s="558">
        <v>4.5</v>
      </c>
      <c r="E69" s="544">
        <f>C69/$C$93*100</f>
        <v>8.4269662921348321</v>
      </c>
      <c r="F69" s="535"/>
      <c r="G69" s="559"/>
      <c r="H69" s="559"/>
      <c r="I69" s="560"/>
    </row>
    <row r="70" spans="2:9" ht="13.5" customHeight="1" x14ac:dyDescent="0.2">
      <c r="B70" s="545" t="s">
        <v>1265</v>
      </c>
      <c r="C70" s="561"/>
      <c r="D70" s="562"/>
      <c r="E70" s="548"/>
      <c r="F70" s="540"/>
      <c r="G70" s="549"/>
      <c r="H70" s="549"/>
      <c r="I70" s="550"/>
    </row>
    <row r="71" spans="2:9" ht="13.5" customHeight="1" x14ac:dyDescent="0.2">
      <c r="B71" s="545" t="s">
        <v>1243</v>
      </c>
      <c r="C71" s="561"/>
      <c r="D71" s="562"/>
      <c r="E71" s="548"/>
      <c r="F71" s="540"/>
      <c r="G71" s="549"/>
      <c r="H71" s="549"/>
      <c r="I71" s="550"/>
    </row>
    <row r="72" spans="2:9" ht="13.5" customHeight="1" x14ac:dyDescent="0.2">
      <c r="B72" s="586" t="s">
        <v>1244</v>
      </c>
      <c r="C72" s="564"/>
      <c r="D72" s="565"/>
      <c r="E72" s="553"/>
      <c r="F72" s="554"/>
      <c r="G72" s="555"/>
      <c r="H72" s="555"/>
      <c r="I72" s="556"/>
    </row>
    <row r="73" spans="2:9" ht="13.5" customHeight="1" x14ac:dyDescent="0.2">
      <c r="B73" s="584" t="s">
        <v>1202</v>
      </c>
      <c r="C73" s="557">
        <v>680000</v>
      </c>
      <c r="D73" s="558">
        <v>3.1</v>
      </c>
      <c r="E73" s="544">
        <f>C73/$C$93*100</f>
        <v>3.1835205992509366</v>
      </c>
      <c r="F73" s="535"/>
      <c r="G73" s="559"/>
      <c r="H73" s="559"/>
      <c r="I73" s="560"/>
    </row>
    <row r="74" spans="2:9" ht="13.5" customHeight="1" x14ac:dyDescent="0.2">
      <c r="B74" s="545" t="s">
        <v>1245</v>
      </c>
      <c r="C74" s="561"/>
      <c r="D74" s="562"/>
      <c r="E74" s="563"/>
      <c r="F74" s="540"/>
      <c r="G74" s="549"/>
      <c r="H74" s="549"/>
      <c r="I74" s="550"/>
    </row>
    <row r="75" spans="2:9" ht="13.5" customHeight="1" x14ac:dyDescent="0.2">
      <c r="B75" s="545" t="s">
        <v>1246</v>
      </c>
      <c r="C75" s="561"/>
      <c r="D75" s="562"/>
      <c r="E75" s="563"/>
      <c r="F75" s="540"/>
      <c r="G75" s="549"/>
      <c r="H75" s="549"/>
      <c r="I75" s="550"/>
    </row>
    <row r="76" spans="2:9" ht="13.5" customHeight="1" x14ac:dyDescent="0.2">
      <c r="B76" s="545" t="s">
        <v>1247</v>
      </c>
      <c r="C76" s="561"/>
      <c r="D76" s="562"/>
      <c r="E76" s="563"/>
      <c r="F76" s="540"/>
      <c r="G76" s="549"/>
      <c r="H76" s="549"/>
      <c r="I76" s="550"/>
    </row>
    <row r="77" spans="2:9" ht="13.5" customHeight="1" x14ac:dyDescent="0.2">
      <c r="B77" s="545" t="s">
        <v>1248</v>
      </c>
      <c r="C77" s="561"/>
      <c r="D77" s="562"/>
      <c r="E77" s="563"/>
      <c r="F77" s="540"/>
      <c r="G77" s="549"/>
      <c r="H77" s="549"/>
      <c r="I77" s="550"/>
    </row>
    <row r="78" spans="2:9" ht="13.5" customHeight="1" x14ac:dyDescent="0.2">
      <c r="B78" s="545" t="s">
        <v>1249</v>
      </c>
      <c r="C78" s="561"/>
      <c r="D78" s="562"/>
      <c r="E78" s="563"/>
      <c r="F78" s="540"/>
      <c r="G78" s="549"/>
      <c r="H78" s="549"/>
      <c r="I78" s="550"/>
    </row>
    <row r="79" spans="2:9" ht="13.5" customHeight="1" x14ac:dyDescent="0.2">
      <c r="B79" s="586" t="s">
        <v>1250</v>
      </c>
      <c r="C79" s="564"/>
      <c r="D79" s="565"/>
      <c r="E79" s="566"/>
      <c r="F79" s="554"/>
      <c r="G79" s="555"/>
      <c r="H79" s="555"/>
      <c r="I79" s="556"/>
    </row>
    <row r="80" spans="2:9" ht="13.5" customHeight="1" x14ac:dyDescent="0.2">
      <c r="B80" s="584" t="s">
        <v>1203</v>
      </c>
      <c r="C80" s="557">
        <v>1100000</v>
      </c>
      <c r="D80" s="558">
        <v>4.5999999999999996</v>
      </c>
      <c r="E80" s="544">
        <f>C80/$C$93*100</f>
        <v>5.1498127340823974</v>
      </c>
      <c r="F80" s="535"/>
      <c r="G80" s="559"/>
      <c r="H80" s="559"/>
      <c r="I80" s="560"/>
    </row>
    <row r="81" spans="2:9" ht="13.5" customHeight="1" x14ac:dyDescent="0.2">
      <c r="B81" s="545" t="s">
        <v>1251</v>
      </c>
      <c r="C81" s="561"/>
      <c r="D81" s="562"/>
      <c r="E81" s="563"/>
      <c r="F81" s="540"/>
      <c r="G81" s="549"/>
      <c r="H81" s="549"/>
      <c r="I81" s="550"/>
    </row>
    <row r="82" spans="2:9" ht="13.5" customHeight="1" x14ac:dyDescent="0.2">
      <c r="B82" s="545" t="s">
        <v>1252</v>
      </c>
      <c r="C82" s="561"/>
      <c r="D82" s="562"/>
      <c r="E82" s="563"/>
      <c r="F82" s="540"/>
      <c r="G82" s="549"/>
      <c r="H82" s="549"/>
      <c r="I82" s="550"/>
    </row>
    <row r="83" spans="2:9" ht="13.5" customHeight="1" x14ac:dyDescent="0.2">
      <c r="B83" s="545" t="s">
        <v>1253</v>
      </c>
      <c r="C83" s="561"/>
      <c r="D83" s="562"/>
      <c r="E83" s="563"/>
      <c r="F83" s="540"/>
      <c r="G83" s="549"/>
      <c r="H83" s="549"/>
      <c r="I83" s="550"/>
    </row>
    <row r="84" spans="2:9" ht="13.5" customHeight="1" x14ac:dyDescent="0.2">
      <c r="B84" s="545" t="s">
        <v>1254</v>
      </c>
      <c r="C84" s="561"/>
      <c r="D84" s="562"/>
      <c r="E84" s="563"/>
      <c r="F84" s="540"/>
      <c r="G84" s="549"/>
      <c r="H84" s="549"/>
      <c r="I84" s="550"/>
    </row>
    <row r="85" spans="2:9" ht="13.5" customHeight="1" x14ac:dyDescent="0.2">
      <c r="B85" s="586" t="s">
        <v>1255</v>
      </c>
      <c r="C85" s="564"/>
      <c r="D85" s="565"/>
      <c r="E85" s="566"/>
      <c r="F85" s="554"/>
      <c r="G85" s="555"/>
      <c r="H85" s="555"/>
      <c r="I85" s="556"/>
    </row>
    <row r="86" spans="2:9" ht="13.5" customHeight="1" x14ac:dyDescent="0.2">
      <c r="B86" s="584" t="s">
        <v>1204</v>
      </c>
      <c r="C86" s="557">
        <v>2300000</v>
      </c>
      <c r="D86" s="558">
        <v>3.2</v>
      </c>
      <c r="E86" s="544">
        <f>C86/$C$93*100</f>
        <v>10.767790262172285</v>
      </c>
      <c r="F86" s="535"/>
      <c r="G86" s="559"/>
      <c r="H86" s="559"/>
      <c r="I86" s="560"/>
    </row>
    <row r="87" spans="2:9" ht="13.5" customHeight="1" x14ac:dyDescent="0.2">
      <c r="B87" s="545" t="s">
        <v>1256</v>
      </c>
      <c r="C87" s="561"/>
      <c r="D87" s="562"/>
      <c r="E87" s="563"/>
      <c r="F87" s="540"/>
      <c r="G87" s="549"/>
      <c r="H87" s="549"/>
      <c r="I87" s="550"/>
    </row>
    <row r="88" spans="2:9" ht="13.5" customHeight="1" x14ac:dyDescent="0.2">
      <c r="B88" s="586" t="s">
        <v>1257</v>
      </c>
      <c r="C88" s="564"/>
      <c r="D88" s="565"/>
      <c r="E88" s="566"/>
      <c r="F88" s="554"/>
      <c r="G88" s="555"/>
      <c r="H88" s="555"/>
      <c r="I88" s="556"/>
    </row>
    <row r="89" spans="2:9" ht="13.5" customHeight="1" x14ac:dyDescent="0.2">
      <c r="B89" s="584" t="s">
        <v>1205</v>
      </c>
      <c r="C89" s="557">
        <v>0</v>
      </c>
      <c r="D89" s="558">
        <v>3.1</v>
      </c>
      <c r="E89" s="544">
        <f>C89/$C$93*100</f>
        <v>0</v>
      </c>
      <c r="F89" s="535"/>
      <c r="G89" s="559"/>
      <c r="H89" s="559"/>
      <c r="I89" s="560"/>
    </row>
    <row r="90" spans="2:9" ht="13.5" customHeight="1" x14ac:dyDescent="0.2">
      <c r="B90" s="545" t="s">
        <v>1258</v>
      </c>
      <c r="C90" s="546"/>
      <c r="D90" s="562"/>
      <c r="E90" s="563"/>
      <c r="F90" s="540"/>
      <c r="G90" s="549"/>
      <c r="H90" s="549"/>
      <c r="I90" s="550"/>
    </row>
    <row r="91" spans="2:9" ht="13.5" customHeight="1" x14ac:dyDescent="0.2">
      <c r="B91" s="545" t="s">
        <v>1259</v>
      </c>
      <c r="C91" s="546"/>
      <c r="D91" s="562"/>
      <c r="E91" s="563"/>
      <c r="F91" s="540"/>
      <c r="G91" s="549"/>
      <c r="H91" s="549"/>
      <c r="I91" s="550"/>
    </row>
    <row r="92" spans="2:9" ht="13.5" customHeight="1" thickBot="1" x14ac:dyDescent="0.25">
      <c r="B92" s="545" t="s">
        <v>1260</v>
      </c>
      <c r="C92" s="546"/>
      <c r="D92" s="562"/>
      <c r="E92" s="563"/>
      <c r="F92" s="540"/>
      <c r="G92" s="549"/>
      <c r="H92" s="549"/>
      <c r="I92" s="550"/>
    </row>
    <row r="93" spans="2:9" ht="17.25" customHeight="1" thickBot="1" x14ac:dyDescent="0.25">
      <c r="B93" s="587" t="s">
        <v>555</v>
      </c>
      <c r="C93" s="569">
        <f>SUM(C14:C92)</f>
        <v>21360000</v>
      </c>
      <c r="D93" s="570">
        <f>SUM(D14:D92)</f>
        <v>99.999999999999986</v>
      </c>
      <c r="E93" s="571">
        <f>SUM(E14:E92)</f>
        <v>100.00000000000001</v>
      </c>
      <c r="F93" s="572"/>
      <c r="G93" s="572"/>
      <c r="H93" s="572"/>
      <c r="I93" s="573"/>
    </row>
    <row r="97" spans="2:2" x14ac:dyDescent="0.2">
      <c r="B97" s="590" t="s">
        <v>1942</v>
      </c>
    </row>
  </sheetData>
  <mergeCells count="6">
    <mergeCell ref="D10:E10"/>
    <mergeCell ref="B2:E2"/>
    <mergeCell ref="F13:I13"/>
    <mergeCell ref="D11:D12"/>
    <mergeCell ref="E11:E12"/>
    <mergeCell ref="F11:I11"/>
  </mergeCells>
  <phoneticPr fontId="28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90" orientation="portrait" r:id="rId1"/>
  <headerFooter alignWithMargins="0"/>
  <rowBreaks count="1" manualBreakCount="1">
    <brk id="58" max="4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Munka13"/>
  <dimension ref="B2:J83"/>
  <sheetViews>
    <sheetView topLeftCell="A13" workbookViewId="0">
      <selection activeCell="B24" sqref="B24"/>
    </sheetView>
  </sheetViews>
  <sheetFormatPr defaultRowHeight="12.75" x14ac:dyDescent="0.2"/>
  <cols>
    <col min="2" max="2" width="44.28515625" customWidth="1"/>
    <col min="3" max="3" width="13.5703125" customWidth="1"/>
    <col min="4" max="4" width="13.7109375" style="2" customWidth="1"/>
    <col min="5" max="5" width="14.140625" style="2" customWidth="1"/>
    <col min="8" max="8" width="17.5703125" customWidth="1"/>
  </cols>
  <sheetData>
    <row r="2" spans="2:10" x14ac:dyDescent="0.2">
      <c r="B2" s="69" t="s">
        <v>1418</v>
      </c>
      <c r="C2" t="s">
        <v>1421</v>
      </c>
      <c r="D2" s="2" t="s">
        <v>1412</v>
      </c>
      <c r="E2" s="2" t="s">
        <v>1413</v>
      </c>
      <c r="H2" t="s">
        <v>420</v>
      </c>
      <c r="I2" t="s">
        <v>459</v>
      </c>
      <c r="J2" t="s">
        <v>419</v>
      </c>
    </row>
    <row r="3" spans="2:10" x14ac:dyDescent="0.2">
      <c r="B3" t="s">
        <v>1419</v>
      </c>
      <c r="C3">
        <v>70</v>
      </c>
      <c r="D3" s="2">
        <v>1870</v>
      </c>
      <c r="E3" s="2">
        <f>C3*D3</f>
        <v>130900</v>
      </c>
      <c r="H3">
        <v>25</v>
      </c>
      <c r="I3">
        <v>125</v>
      </c>
      <c r="J3">
        <v>87</v>
      </c>
    </row>
    <row r="4" spans="2:10" x14ac:dyDescent="0.2">
      <c r="B4" t="s">
        <v>1420</v>
      </c>
      <c r="C4">
        <v>16</v>
      </c>
      <c r="D4" s="2">
        <v>1870</v>
      </c>
      <c r="E4" s="2">
        <f>C4*D4</f>
        <v>29920</v>
      </c>
      <c r="H4">
        <v>33</v>
      </c>
      <c r="I4">
        <v>150</v>
      </c>
      <c r="J4">
        <v>100</v>
      </c>
    </row>
    <row r="5" spans="2:10" x14ac:dyDescent="0.2">
      <c r="B5" t="s">
        <v>1410</v>
      </c>
      <c r="C5">
        <v>7</v>
      </c>
      <c r="D5" s="2">
        <v>5873</v>
      </c>
      <c r="E5" s="2">
        <f>C5*D5</f>
        <v>41111</v>
      </c>
      <c r="H5">
        <v>40</v>
      </c>
      <c r="I5">
        <v>190</v>
      </c>
    </row>
    <row r="6" spans="2:10" x14ac:dyDescent="0.2">
      <c r="B6" t="s">
        <v>1411</v>
      </c>
      <c r="C6">
        <v>3</v>
      </c>
      <c r="D6" s="2">
        <v>5873</v>
      </c>
      <c r="E6" s="2">
        <f t="shared" ref="E6:E11" si="0">C6*D6</f>
        <v>17619</v>
      </c>
    </row>
    <row r="7" spans="2:10" x14ac:dyDescent="0.2">
      <c r="B7" t="s">
        <v>1414</v>
      </c>
      <c r="C7">
        <v>4</v>
      </c>
      <c r="D7" s="2">
        <v>2209</v>
      </c>
      <c r="E7" s="2">
        <f t="shared" si="0"/>
        <v>8836</v>
      </c>
    </row>
    <row r="8" spans="2:10" x14ac:dyDescent="0.2">
      <c r="B8" t="s">
        <v>1415</v>
      </c>
      <c r="C8">
        <v>8</v>
      </c>
      <c r="D8" s="2">
        <v>1913</v>
      </c>
      <c r="E8" s="2">
        <f t="shared" si="0"/>
        <v>15304</v>
      </c>
    </row>
    <row r="9" spans="2:10" x14ac:dyDescent="0.2">
      <c r="B9" t="s">
        <v>1416</v>
      </c>
      <c r="C9">
        <v>4</v>
      </c>
      <c r="D9" s="2">
        <v>2601</v>
      </c>
      <c r="E9" s="2">
        <f t="shared" si="0"/>
        <v>10404</v>
      </c>
    </row>
    <row r="10" spans="2:10" x14ac:dyDescent="0.2">
      <c r="B10" t="s">
        <v>1423</v>
      </c>
      <c r="C10">
        <v>85</v>
      </c>
      <c r="D10" s="2">
        <v>806</v>
      </c>
      <c r="E10" s="2">
        <f t="shared" si="0"/>
        <v>68510</v>
      </c>
    </row>
    <row r="11" spans="2:10" x14ac:dyDescent="0.2">
      <c r="B11" t="s">
        <v>1417</v>
      </c>
      <c r="C11">
        <v>8</v>
      </c>
      <c r="D11" s="2">
        <v>639</v>
      </c>
      <c r="E11" s="2">
        <f t="shared" si="0"/>
        <v>5112</v>
      </c>
    </row>
    <row r="12" spans="2:10" x14ac:dyDescent="0.2">
      <c r="B12" t="s">
        <v>1422</v>
      </c>
      <c r="C12">
        <v>0</v>
      </c>
      <c r="D12" s="2">
        <v>2849</v>
      </c>
      <c r="E12" s="2">
        <f>C12*D12</f>
        <v>0</v>
      </c>
    </row>
    <row r="13" spans="2:10" x14ac:dyDescent="0.2">
      <c r="B13" s="69" t="s">
        <v>1664</v>
      </c>
      <c r="E13" s="3">
        <f>SUM(E3:E12)</f>
        <v>327716</v>
      </c>
    </row>
    <row r="17" spans="2:8" x14ac:dyDescent="0.2">
      <c r="B17" s="69" t="s">
        <v>1660</v>
      </c>
      <c r="C17" t="s">
        <v>1421</v>
      </c>
      <c r="D17" s="2" t="s">
        <v>1412</v>
      </c>
      <c r="E17" s="2" t="s">
        <v>1413</v>
      </c>
      <c r="H17" t="s">
        <v>56</v>
      </c>
    </row>
    <row r="18" spans="2:8" x14ac:dyDescent="0.2">
      <c r="B18" t="s">
        <v>421</v>
      </c>
      <c r="C18">
        <v>70</v>
      </c>
      <c r="D18" s="2">
        <v>500</v>
      </c>
      <c r="E18" s="2">
        <f>C18*D18</f>
        <v>35000</v>
      </c>
      <c r="H18">
        <v>11.45</v>
      </c>
    </row>
    <row r="19" spans="2:8" x14ac:dyDescent="0.2">
      <c r="B19" t="s">
        <v>1663</v>
      </c>
      <c r="C19">
        <v>16</v>
      </c>
      <c r="D19" s="2">
        <v>550</v>
      </c>
      <c r="E19" s="2">
        <f>C19*D19</f>
        <v>8800</v>
      </c>
      <c r="H19">
        <v>11.45</v>
      </c>
    </row>
    <row r="20" spans="2:8" x14ac:dyDescent="0.2">
      <c r="B20" t="s">
        <v>1410</v>
      </c>
      <c r="C20">
        <v>7</v>
      </c>
      <c r="D20" s="2">
        <v>750</v>
      </c>
      <c r="E20" s="2">
        <f>C20*D20</f>
        <v>5250</v>
      </c>
      <c r="H20">
        <v>20.7</v>
      </c>
    </row>
    <row r="21" spans="2:8" x14ac:dyDescent="0.2">
      <c r="B21" t="s">
        <v>1411</v>
      </c>
      <c r="C21">
        <v>3</v>
      </c>
      <c r="D21" s="2">
        <v>750</v>
      </c>
      <c r="E21" s="2">
        <f t="shared" ref="E21:E26" si="1">C21*D21</f>
        <v>2250</v>
      </c>
      <c r="H21">
        <v>20.7</v>
      </c>
    </row>
    <row r="22" spans="2:8" x14ac:dyDescent="0.2">
      <c r="B22" t="s">
        <v>1414</v>
      </c>
      <c r="C22">
        <v>4</v>
      </c>
      <c r="D22" s="2">
        <v>205</v>
      </c>
      <c r="E22" s="2">
        <f t="shared" si="1"/>
        <v>820</v>
      </c>
      <c r="H22" s="69">
        <f>SUM(H18:H21)</f>
        <v>64.3</v>
      </c>
    </row>
    <row r="23" spans="2:8" x14ac:dyDescent="0.2">
      <c r="B23" t="s">
        <v>1415</v>
      </c>
      <c r="C23">
        <v>8</v>
      </c>
      <c r="D23" s="2">
        <v>435</v>
      </c>
      <c r="E23" s="2">
        <f t="shared" si="1"/>
        <v>3480</v>
      </c>
    </row>
    <row r="24" spans="2:8" x14ac:dyDescent="0.2">
      <c r="B24" t="s">
        <v>1416</v>
      </c>
      <c r="C24">
        <v>4</v>
      </c>
      <c r="D24" s="2">
        <v>2601</v>
      </c>
      <c r="E24" s="2">
        <f t="shared" si="1"/>
        <v>10404</v>
      </c>
    </row>
    <row r="25" spans="2:8" x14ac:dyDescent="0.2">
      <c r="B25" t="s">
        <v>1423</v>
      </c>
      <c r="C25">
        <v>85</v>
      </c>
      <c r="D25" s="2">
        <v>425</v>
      </c>
      <c r="E25" s="2">
        <f t="shared" si="1"/>
        <v>36125</v>
      </c>
    </row>
    <row r="26" spans="2:8" x14ac:dyDescent="0.2">
      <c r="B26" t="s">
        <v>1417</v>
      </c>
      <c r="C26">
        <v>8</v>
      </c>
      <c r="D26" s="2">
        <v>639</v>
      </c>
      <c r="E26" s="2">
        <f t="shared" si="1"/>
        <v>5112</v>
      </c>
    </row>
    <row r="27" spans="2:8" x14ac:dyDescent="0.2">
      <c r="B27" t="s">
        <v>1422</v>
      </c>
      <c r="C27">
        <v>0</v>
      </c>
      <c r="D27" s="2">
        <v>2849</v>
      </c>
      <c r="E27" s="2">
        <f>C27*D27</f>
        <v>0</v>
      </c>
    </row>
    <row r="28" spans="2:8" x14ac:dyDescent="0.2">
      <c r="E28" s="3">
        <f>SUM(E18:E27)</f>
        <v>107241</v>
      </c>
    </row>
    <row r="30" spans="2:8" x14ac:dyDescent="0.2">
      <c r="B30" s="69" t="s">
        <v>83</v>
      </c>
      <c r="C30" t="s">
        <v>1421</v>
      </c>
      <c r="D30" s="2" t="s">
        <v>1412</v>
      </c>
      <c r="E30" s="2" t="s">
        <v>1413</v>
      </c>
    </row>
    <row r="31" spans="2:8" x14ac:dyDescent="0.2">
      <c r="B31" s="29" t="s">
        <v>1662</v>
      </c>
      <c r="C31">
        <v>70</v>
      </c>
      <c r="D31" s="2">
        <v>470</v>
      </c>
      <c r="E31" s="2">
        <f>C31*D31</f>
        <v>32900</v>
      </c>
    </row>
    <row r="32" spans="2:8" x14ac:dyDescent="0.2">
      <c r="B32" s="29" t="s">
        <v>1663</v>
      </c>
      <c r="C32">
        <v>16</v>
      </c>
      <c r="D32" s="2">
        <v>550</v>
      </c>
      <c r="E32" s="2">
        <f>C32*D32</f>
        <v>8800</v>
      </c>
    </row>
    <row r="33" spans="2:5" x14ac:dyDescent="0.2">
      <c r="B33" s="29" t="s">
        <v>1410</v>
      </c>
      <c r="C33">
        <v>7</v>
      </c>
      <c r="D33" s="2">
        <v>750</v>
      </c>
      <c r="E33" s="2">
        <f>C33*D33</f>
        <v>5250</v>
      </c>
    </row>
    <row r="34" spans="2:5" x14ac:dyDescent="0.2">
      <c r="B34" s="29" t="s">
        <v>1411</v>
      </c>
      <c r="C34">
        <v>3</v>
      </c>
      <c r="D34" s="2">
        <v>5873</v>
      </c>
      <c r="E34" s="2">
        <f t="shared" ref="E34:E39" si="2">C34*D34</f>
        <v>17619</v>
      </c>
    </row>
    <row r="35" spans="2:5" x14ac:dyDescent="0.2">
      <c r="B35" s="29" t="s">
        <v>1414</v>
      </c>
      <c r="C35">
        <v>4</v>
      </c>
      <c r="D35" s="2">
        <v>205</v>
      </c>
      <c r="E35" s="2">
        <f t="shared" si="2"/>
        <v>820</v>
      </c>
    </row>
    <row r="36" spans="2:5" x14ac:dyDescent="0.2">
      <c r="B36" s="29" t="s">
        <v>1415</v>
      </c>
      <c r="C36">
        <v>8</v>
      </c>
      <c r="D36" s="2">
        <v>435</v>
      </c>
      <c r="E36" s="2">
        <f t="shared" si="2"/>
        <v>3480</v>
      </c>
    </row>
    <row r="37" spans="2:5" x14ac:dyDescent="0.2">
      <c r="B37" t="s">
        <v>1416</v>
      </c>
      <c r="C37">
        <v>0</v>
      </c>
      <c r="D37" s="2">
        <v>2601</v>
      </c>
      <c r="E37" s="2">
        <f t="shared" si="2"/>
        <v>0</v>
      </c>
    </row>
    <row r="38" spans="2:5" x14ac:dyDescent="0.2">
      <c r="B38" t="s">
        <v>1423</v>
      </c>
      <c r="C38">
        <v>85</v>
      </c>
      <c r="D38" s="2">
        <v>806</v>
      </c>
      <c r="E38" s="2">
        <f t="shared" si="2"/>
        <v>68510</v>
      </c>
    </row>
    <row r="39" spans="2:5" x14ac:dyDescent="0.2">
      <c r="B39" s="29" t="s">
        <v>1417</v>
      </c>
      <c r="C39">
        <v>8</v>
      </c>
      <c r="D39" s="2">
        <v>639</v>
      </c>
      <c r="E39" s="2">
        <f t="shared" si="2"/>
        <v>5112</v>
      </c>
    </row>
    <row r="40" spans="2:5" x14ac:dyDescent="0.2">
      <c r="B40" t="s">
        <v>1422</v>
      </c>
      <c r="C40">
        <v>0</v>
      </c>
      <c r="D40" s="2">
        <v>2849</v>
      </c>
      <c r="E40" s="2">
        <f>C40*D40</f>
        <v>0</v>
      </c>
    </row>
    <row r="41" spans="2:5" x14ac:dyDescent="0.2">
      <c r="E41" s="3">
        <f>SUM(E31:E40)</f>
        <v>142491</v>
      </c>
    </row>
    <row r="44" spans="2:5" x14ac:dyDescent="0.2">
      <c r="B44" s="69" t="s">
        <v>1813</v>
      </c>
      <c r="C44" t="s">
        <v>1421</v>
      </c>
      <c r="D44" s="2" t="s">
        <v>1412</v>
      </c>
      <c r="E44" s="2" t="s">
        <v>1413</v>
      </c>
    </row>
    <row r="45" spans="2:5" x14ac:dyDescent="0.2">
      <c r="B45" t="s">
        <v>1812</v>
      </c>
      <c r="C45">
        <v>70</v>
      </c>
      <c r="D45" s="2">
        <v>1013</v>
      </c>
      <c r="E45" s="2">
        <f>C45*D45</f>
        <v>70910</v>
      </c>
    </row>
    <row r="46" spans="2:5" x14ac:dyDescent="0.2">
      <c r="B46" t="s">
        <v>1663</v>
      </c>
      <c r="C46">
        <v>16</v>
      </c>
      <c r="D46" s="2">
        <v>1055</v>
      </c>
      <c r="E46" s="2">
        <f>C46*D46</f>
        <v>16880</v>
      </c>
    </row>
    <row r="47" spans="2:5" x14ac:dyDescent="0.2">
      <c r="B47" t="s">
        <v>1410</v>
      </c>
      <c r="C47">
        <v>7</v>
      </c>
      <c r="D47" s="2">
        <v>1670</v>
      </c>
      <c r="E47" s="2">
        <f>C47*D47</f>
        <v>11690</v>
      </c>
    </row>
    <row r="48" spans="2:5" x14ac:dyDescent="0.2">
      <c r="B48" t="s">
        <v>1411</v>
      </c>
      <c r="C48">
        <v>3</v>
      </c>
      <c r="D48" s="2">
        <v>1670</v>
      </c>
      <c r="E48" s="2">
        <f t="shared" ref="E48:E53" si="3">C48*D48</f>
        <v>5010</v>
      </c>
    </row>
    <row r="49" spans="2:5" x14ac:dyDescent="0.2">
      <c r="B49" t="s">
        <v>1414</v>
      </c>
      <c r="C49">
        <v>4</v>
      </c>
      <c r="D49" s="2">
        <v>530</v>
      </c>
      <c r="E49" s="2">
        <f t="shared" si="3"/>
        <v>2120</v>
      </c>
    </row>
    <row r="50" spans="2:5" x14ac:dyDescent="0.2">
      <c r="B50" t="s">
        <v>1415</v>
      </c>
      <c r="C50">
        <v>8</v>
      </c>
      <c r="D50" s="2">
        <v>810</v>
      </c>
      <c r="E50" s="2">
        <f t="shared" si="3"/>
        <v>6480</v>
      </c>
    </row>
    <row r="51" spans="2:5" x14ac:dyDescent="0.2">
      <c r="B51" t="s">
        <v>1416</v>
      </c>
      <c r="C51">
        <v>0</v>
      </c>
      <c r="D51" s="2">
        <v>0</v>
      </c>
      <c r="E51" s="2">
        <f t="shared" si="3"/>
        <v>0</v>
      </c>
    </row>
    <row r="52" spans="2:5" x14ac:dyDescent="0.2">
      <c r="B52" t="s">
        <v>1423</v>
      </c>
      <c r="C52">
        <v>85</v>
      </c>
      <c r="D52" s="2">
        <v>650</v>
      </c>
      <c r="E52" s="2">
        <f t="shared" si="3"/>
        <v>55250</v>
      </c>
    </row>
    <row r="53" spans="2:5" x14ac:dyDescent="0.2">
      <c r="B53" t="s">
        <v>1417</v>
      </c>
      <c r="C53">
        <v>8</v>
      </c>
      <c r="D53" s="2">
        <v>380</v>
      </c>
      <c r="E53" s="2">
        <f t="shared" si="3"/>
        <v>3040</v>
      </c>
    </row>
    <row r="54" spans="2:5" x14ac:dyDescent="0.2">
      <c r="B54" t="s">
        <v>1422</v>
      </c>
      <c r="C54">
        <v>0</v>
      </c>
      <c r="D54" s="2">
        <v>2849</v>
      </c>
      <c r="E54" s="2">
        <f>C54*D54</f>
        <v>0</v>
      </c>
    </row>
    <row r="55" spans="2:5" x14ac:dyDescent="0.2">
      <c r="D55" s="2" t="s">
        <v>821</v>
      </c>
      <c r="E55" s="3">
        <f>SUM(E45:E54)</f>
        <v>171380</v>
      </c>
    </row>
    <row r="58" spans="2:5" x14ac:dyDescent="0.2">
      <c r="B58" s="69" t="s">
        <v>1814</v>
      </c>
      <c r="C58" t="s">
        <v>1421</v>
      </c>
      <c r="D58" s="2" t="s">
        <v>1412</v>
      </c>
      <c r="E58" s="2" t="s">
        <v>1413</v>
      </c>
    </row>
    <row r="59" spans="2:5" x14ac:dyDescent="0.2">
      <c r="B59" t="s">
        <v>1812</v>
      </c>
      <c r="C59">
        <v>70</v>
      </c>
      <c r="D59" s="2">
        <v>675</v>
      </c>
      <c r="E59" s="2">
        <f>C59*D59</f>
        <v>47250</v>
      </c>
    </row>
    <row r="60" spans="2:5" x14ac:dyDescent="0.2">
      <c r="B60" t="s">
        <v>1663</v>
      </c>
      <c r="C60">
        <v>16</v>
      </c>
      <c r="D60" s="2">
        <v>565</v>
      </c>
      <c r="E60" s="2">
        <f>C60*D60</f>
        <v>9040</v>
      </c>
    </row>
    <row r="61" spans="2:5" x14ac:dyDescent="0.2">
      <c r="B61" t="s">
        <v>1410</v>
      </c>
      <c r="C61">
        <v>7</v>
      </c>
      <c r="D61" s="2">
        <v>1011</v>
      </c>
      <c r="E61" s="2">
        <f>C61*D61</f>
        <v>7077</v>
      </c>
    </row>
    <row r="62" spans="2:5" x14ac:dyDescent="0.2">
      <c r="B62" t="s">
        <v>1411</v>
      </c>
      <c r="C62">
        <v>3</v>
      </c>
      <c r="D62" s="2">
        <v>1011</v>
      </c>
      <c r="E62" s="2">
        <f t="shared" ref="E62:E67" si="4">C62*D62</f>
        <v>3033</v>
      </c>
    </row>
    <row r="63" spans="2:5" x14ac:dyDescent="0.2">
      <c r="B63" t="s">
        <v>1414</v>
      </c>
      <c r="C63">
        <v>4</v>
      </c>
      <c r="D63" s="2">
        <v>600</v>
      </c>
      <c r="E63" s="2">
        <f t="shared" si="4"/>
        <v>2400</v>
      </c>
    </row>
    <row r="64" spans="2:5" x14ac:dyDescent="0.2">
      <c r="B64" t="s">
        <v>1415</v>
      </c>
      <c r="C64">
        <v>8</v>
      </c>
      <c r="D64" s="2">
        <v>440</v>
      </c>
      <c r="E64" s="2">
        <f t="shared" si="4"/>
        <v>3520</v>
      </c>
    </row>
    <row r="65" spans="2:5" x14ac:dyDescent="0.2">
      <c r="B65" t="s">
        <v>1416</v>
      </c>
      <c r="C65">
        <v>4</v>
      </c>
      <c r="D65" s="2">
        <v>565</v>
      </c>
      <c r="E65" s="2">
        <f t="shared" si="4"/>
        <v>2260</v>
      </c>
    </row>
    <row r="66" spans="2:5" x14ac:dyDescent="0.2">
      <c r="B66" t="s">
        <v>1423</v>
      </c>
      <c r="C66">
        <v>85</v>
      </c>
      <c r="D66" s="2">
        <v>400</v>
      </c>
      <c r="E66" s="2">
        <f t="shared" si="4"/>
        <v>34000</v>
      </c>
    </row>
    <row r="67" spans="2:5" x14ac:dyDescent="0.2">
      <c r="B67" t="s">
        <v>1417</v>
      </c>
      <c r="C67">
        <v>8</v>
      </c>
      <c r="D67" s="2">
        <v>639</v>
      </c>
      <c r="E67" s="2">
        <f t="shared" si="4"/>
        <v>5112</v>
      </c>
    </row>
    <row r="68" spans="2:5" x14ac:dyDescent="0.2">
      <c r="B68" t="s">
        <v>1422</v>
      </c>
      <c r="C68">
        <v>0</v>
      </c>
      <c r="D68" s="2">
        <v>2849</v>
      </c>
      <c r="E68" s="2">
        <f>C68*D68</f>
        <v>0</v>
      </c>
    </row>
    <row r="69" spans="2:5" x14ac:dyDescent="0.2">
      <c r="D69" s="2" t="s">
        <v>821</v>
      </c>
      <c r="E69" s="3">
        <f>SUM(E59:E68)*1.25</f>
        <v>142115</v>
      </c>
    </row>
    <row r="72" spans="2:5" x14ac:dyDescent="0.2">
      <c r="B72" s="69" t="s">
        <v>1817</v>
      </c>
      <c r="C72" t="s">
        <v>1421</v>
      </c>
      <c r="D72" s="2" t="s">
        <v>1412</v>
      </c>
      <c r="E72" s="2" t="s">
        <v>1413</v>
      </c>
    </row>
    <row r="73" spans="2:5" x14ac:dyDescent="0.2">
      <c r="B73" t="s">
        <v>1812</v>
      </c>
      <c r="C73">
        <v>70</v>
      </c>
      <c r="D73" s="2">
        <v>720</v>
      </c>
      <c r="E73" s="2">
        <f>C73*D73</f>
        <v>50400</v>
      </c>
    </row>
    <row r="74" spans="2:5" x14ac:dyDescent="0.2">
      <c r="B74" t="s">
        <v>1663</v>
      </c>
      <c r="C74">
        <v>16</v>
      </c>
      <c r="D74" s="2">
        <v>785</v>
      </c>
      <c r="E74" s="2">
        <f>C74*D74</f>
        <v>12560</v>
      </c>
    </row>
    <row r="75" spans="2:5" x14ac:dyDescent="0.2">
      <c r="B75" t="s">
        <v>1410</v>
      </c>
      <c r="C75">
        <v>7</v>
      </c>
      <c r="D75" s="2">
        <v>1200</v>
      </c>
      <c r="E75" s="2">
        <f>C75*D75</f>
        <v>8400</v>
      </c>
    </row>
    <row r="76" spans="2:5" x14ac:dyDescent="0.2">
      <c r="B76" t="s">
        <v>1411</v>
      </c>
      <c r="C76">
        <v>3</v>
      </c>
      <c r="D76" s="2">
        <v>1200</v>
      </c>
      <c r="E76" s="2">
        <f t="shared" ref="E76:E81" si="5">C76*D76</f>
        <v>3600</v>
      </c>
    </row>
    <row r="77" spans="2:5" x14ac:dyDescent="0.2">
      <c r="B77" t="s">
        <v>1414</v>
      </c>
      <c r="C77">
        <v>4</v>
      </c>
      <c r="D77" s="2">
        <v>120</v>
      </c>
      <c r="E77" s="2">
        <f t="shared" si="5"/>
        <v>480</v>
      </c>
    </row>
    <row r="78" spans="2:5" x14ac:dyDescent="0.2">
      <c r="B78" t="s">
        <v>1415</v>
      </c>
      <c r="C78">
        <v>8</v>
      </c>
      <c r="D78" s="2">
        <v>440</v>
      </c>
      <c r="E78" s="2">
        <f t="shared" si="5"/>
        <v>3520</v>
      </c>
    </row>
    <row r="79" spans="2:5" x14ac:dyDescent="0.2">
      <c r="B79" t="s">
        <v>1416</v>
      </c>
      <c r="C79">
        <v>0</v>
      </c>
      <c r="D79" s="2">
        <v>0</v>
      </c>
      <c r="E79" s="2">
        <f t="shared" si="5"/>
        <v>0</v>
      </c>
    </row>
    <row r="80" spans="2:5" x14ac:dyDescent="0.2">
      <c r="B80" t="s">
        <v>1423</v>
      </c>
      <c r="C80">
        <v>85</v>
      </c>
      <c r="D80" s="2">
        <v>475</v>
      </c>
      <c r="E80" s="2">
        <f t="shared" si="5"/>
        <v>40375</v>
      </c>
    </row>
    <row r="81" spans="2:5" x14ac:dyDescent="0.2">
      <c r="B81" t="s">
        <v>1417</v>
      </c>
      <c r="C81">
        <v>8</v>
      </c>
      <c r="D81" s="2">
        <v>310</v>
      </c>
      <c r="E81" s="2">
        <f t="shared" si="5"/>
        <v>2480</v>
      </c>
    </row>
    <row r="82" spans="2:5" x14ac:dyDescent="0.2">
      <c r="B82" t="s">
        <v>1422</v>
      </c>
      <c r="C82">
        <v>0</v>
      </c>
      <c r="D82" s="2">
        <v>2849</v>
      </c>
      <c r="E82" s="2">
        <f>C82*D82</f>
        <v>0</v>
      </c>
    </row>
    <row r="83" spans="2:5" x14ac:dyDescent="0.2">
      <c r="D83" s="2" t="s">
        <v>821</v>
      </c>
      <c r="E83" s="3">
        <f>SUM(E73:E82)</f>
        <v>121815</v>
      </c>
    </row>
  </sheetData>
  <phoneticPr fontId="28" type="noConversion"/>
  <pageMargins left="0.75" right="0.75" top="1" bottom="1" header="0.5" footer="0.5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Munka3"/>
  <dimension ref="A1:E27"/>
  <sheetViews>
    <sheetView workbookViewId="0">
      <selection activeCell="B23" sqref="B23"/>
    </sheetView>
  </sheetViews>
  <sheetFormatPr defaultRowHeight="12.75" x14ac:dyDescent="0.2"/>
  <cols>
    <col min="1" max="1" width="37.140625" style="319" customWidth="1"/>
    <col min="2" max="2" width="9.5703125" style="319" customWidth="1"/>
    <col min="3" max="3" width="9.7109375" style="319" customWidth="1"/>
    <col min="4" max="4" width="12.140625" style="319" customWidth="1"/>
    <col min="5" max="5" width="12.85546875" style="319" customWidth="1"/>
    <col min="6" max="16384" width="9.140625" style="319"/>
  </cols>
  <sheetData>
    <row r="1" spans="1:5" s="368" customFormat="1" x14ac:dyDescent="0.2">
      <c r="B1" s="368" t="s">
        <v>609</v>
      </c>
      <c r="C1" s="368" t="s">
        <v>723</v>
      </c>
      <c r="D1" s="379" t="s">
        <v>720</v>
      </c>
      <c r="E1" s="379" t="s">
        <v>760</v>
      </c>
    </row>
    <row r="2" spans="1:5" x14ac:dyDescent="0.2">
      <c r="A2" s="390" t="s">
        <v>905</v>
      </c>
      <c r="B2" s="368"/>
      <c r="C2" s="368"/>
      <c r="D2" s="378"/>
      <c r="E2" s="309"/>
    </row>
    <row r="3" spans="1:5" x14ac:dyDescent="0.2">
      <c r="A3" s="368" t="s">
        <v>1715</v>
      </c>
      <c r="B3" s="368" t="s">
        <v>623</v>
      </c>
      <c r="C3" s="368">
        <v>36</v>
      </c>
      <c r="D3" s="378">
        <v>880</v>
      </c>
      <c r="E3" s="309">
        <f>C3*D3</f>
        <v>31680</v>
      </c>
    </row>
    <row r="4" spans="1:5" x14ac:dyDescent="0.2">
      <c r="A4" s="368" t="s">
        <v>118</v>
      </c>
      <c r="B4" s="368" t="s">
        <v>611</v>
      </c>
      <c r="C4" s="368">
        <v>20</v>
      </c>
      <c r="D4" s="378">
        <v>900</v>
      </c>
      <c r="E4" s="309">
        <f>C4*D4</f>
        <v>18000</v>
      </c>
    </row>
    <row r="5" spans="1:5" x14ac:dyDescent="0.2">
      <c r="A5" s="368" t="s">
        <v>123</v>
      </c>
      <c r="B5" s="368" t="s">
        <v>623</v>
      </c>
      <c r="C5" s="368">
        <v>7</v>
      </c>
      <c r="D5" s="378">
        <v>850</v>
      </c>
      <c r="E5" s="309">
        <f>C5*D5</f>
        <v>5950</v>
      </c>
    </row>
    <row r="6" spans="1:5" x14ac:dyDescent="0.2">
      <c r="A6" s="368" t="s">
        <v>124</v>
      </c>
      <c r="B6" s="368" t="s">
        <v>611</v>
      </c>
      <c r="C6" s="368">
        <v>110</v>
      </c>
      <c r="D6" s="378">
        <v>220</v>
      </c>
      <c r="E6" s="309">
        <f>C6*D6</f>
        <v>24200</v>
      </c>
    </row>
    <row r="7" spans="1:5" x14ac:dyDescent="0.2">
      <c r="A7" s="368"/>
      <c r="B7" s="368"/>
      <c r="C7" s="368"/>
      <c r="D7" s="378"/>
      <c r="E7" s="368"/>
    </row>
    <row r="8" spans="1:5" x14ac:dyDescent="0.2">
      <c r="A8" s="390" t="s">
        <v>122</v>
      </c>
      <c r="B8" s="368"/>
      <c r="C8" s="368"/>
      <c r="D8" s="378"/>
      <c r="E8" s="309"/>
    </row>
    <row r="9" spans="1:5" x14ac:dyDescent="0.2">
      <c r="A9" s="368" t="s">
        <v>779</v>
      </c>
      <c r="B9" s="368" t="s">
        <v>611</v>
      </c>
      <c r="C9" s="368">
        <v>121</v>
      </c>
      <c r="D9" s="378">
        <v>650</v>
      </c>
      <c r="E9" s="309">
        <f>C9*D9</f>
        <v>78650</v>
      </c>
    </row>
    <row r="10" spans="1:5" x14ac:dyDescent="0.2">
      <c r="A10" s="387"/>
      <c r="B10" s="387"/>
      <c r="C10" s="387"/>
      <c r="D10" s="388"/>
      <c r="E10" s="309"/>
    </row>
    <row r="11" spans="1:5" x14ac:dyDescent="0.2">
      <c r="A11" s="390" t="s">
        <v>903</v>
      </c>
      <c r="B11" s="368"/>
      <c r="C11" s="368"/>
      <c r="D11" s="378"/>
      <c r="E11" s="309"/>
    </row>
    <row r="12" spans="1:5" x14ac:dyDescent="0.2">
      <c r="A12" s="368" t="s">
        <v>109</v>
      </c>
      <c r="B12" s="368" t="s">
        <v>706</v>
      </c>
      <c r="C12" s="386">
        <v>0.11</v>
      </c>
      <c r="D12" s="378">
        <v>24000</v>
      </c>
      <c r="E12" s="309">
        <f>C12*D12</f>
        <v>2640</v>
      </c>
    </row>
    <row r="13" spans="1:5" x14ac:dyDescent="0.2">
      <c r="A13" s="368" t="s">
        <v>1020</v>
      </c>
      <c r="B13" s="368" t="s">
        <v>618</v>
      </c>
      <c r="C13" s="368">
        <v>12.2</v>
      </c>
      <c r="D13" s="378">
        <v>850</v>
      </c>
      <c r="E13" s="309">
        <f>C13*D13</f>
        <v>10370</v>
      </c>
    </row>
    <row r="14" spans="1:5" x14ac:dyDescent="0.2">
      <c r="A14" s="368" t="s">
        <v>1021</v>
      </c>
      <c r="B14" s="368" t="s">
        <v>618</v>
      </c>
      <c r="C14" s="368">
        <v>12.2</v>
      </c>
      <c r="D14" s="378">
        <v>640</v>
      </c>
      <c r="E14" s="309">
        <f>C14*D14</f>
        <v>7808</v>
      </c>
    </row>
    <row r="15" spans="1:5" x14ac:dyDescent="0.2">
      <c r="A15" s="368" t="s">
        <v>117</v>
      </c>
      <c r="B15" s="368" t="s">
        <v>642</v>
      </c>
      <c r="C15" s="368">
        <v>32</v>
      </c>
      <c r="D15" s="378">
        <v>150</v>
      </c>
      <c r="E15" s="309">
        <f>C15*D15</f>
        <v>4800</v>
      </c>
    </row>
    <row r="16" spans="1:5" x14ac:dyDescent="0.2">
      <c r="A16" s="368"/>
      <c r="B16" s="368"/>
      <c r="C16" s="368"/>
      <c r="D16" s="378"/>
      <c r="E16" s="309"/>
    </row>
    <row r="17" spans="1:5" x14ac:dyDescent="0.2">
      <c r="A17" s="368" t="s">
        <v>116</v>
      </c>
      <c r="B17" s="368" t="s">
        <v>706</v>
      </c>
      <c r="C17" s="386">
        <v>0.4</v>
      </c>
      <c r="D17" s="378">
        <v>24000</v>
      </c>
      <c r="E17" s="309">
        <f>C17*D17</f>
        <v>9600</v>
      </c>
    </row>
    <row r="18" spans="1:5" x14ac:dyDescent="0.2">
      <c r="A18" s="368" t="s">
        <v>717</v>
      </c>
      <c r="B18" s="368" t="s">
        <v>618</v>
      </c>
      <c r="C18" s="368">
        <v>43</v>
      </c>
      <c r="D18" s="378">
        <v>880</v>
      </c>
      <c r="E18" s="309">
        <f>C18*D18</f>
        <v>37840</v>
      </c>
    </row>
    <row r="19" spans="1:5" x14ac:dyDescent="0.2">
      <c r="A19" s="387" t="s">
        <v>1152</v>
      </c>
      <c r="B19" s="387" t="s">
        <v>618</v>
      </c>
      <c r="C19" s="387">
        <v>75</v>
      </c>
      <c r="D19" s="388">
        <v>410</v>
      </c>
      <c r="E19" s="309">
        <f>C19*D19</f>
        <v>30750</v>
      </c>
    </row>
    <row r="20" spans="1:5" x14ac:dyDescent="0.2">
      <c r="A20" s="387"/>
      <c r="B20" s="387"/>
      <c r="C20" s="387"/>
      <c r="D20" s="388"/>
      <c r="E20" s="387"/>
    </row>
    <row r="21" spans="1:5" x14ac:dyDescent="0.2">
      <c r="A21" s="368" t="s">
        <v>1161</v>
      </c>
      <c r="B21" s="368" t="s">
        <v>611</v>
      </c>
      <c r="C21" s="368">
        <v>110</v>
      </c>
      <c r="D21" s="378">
        <v>260</v>
      </c>
      <c r="E21" s="309">
        <f>C21*D21</f>
        <v>28600</v>
      </c>
    </row>
    <row r="22" spans="1:5" x14ac:dyDescent="0.2">
      <c r="A22" s="368" t="s">
        <v>60</v>
      </c>
      <c r="B22" s="368" t="s">
        <v>706</v>
      </c>
      <c r="C22" s="386">
        <v>0.3</v>
      </c>
      <c r="D22" s="378">
        <v>24000</v>
      </c>
      <c r="E22" s="309">
        <f>C22*D22</f>
        <v>7200</v>
      </c>
    </row>
    <row r="23" spans="1:5" x14ac:dyDescent="0.2">
      <c r="A23" s="368" t="s">
        <v>1712</v>
      </c>
      <c r="B23" s="368" t="s">
        <v>611</v>
      </c>
      <c r="C23" s="368">
        <v>110</v>
      </c>
      <c r="D23" s="378">
        <v>220</v>
      </c>
      <c r="E23" s="309">
        <f>C23*D23</f>
        <v>24200</v>
      </c>
    </row>
    <row r="24" spans="1:5" x14ac:dyDescent="0.2">
      <c r="A24" s="368"/>
      <c r="B24" s="368"/>
      <c r="C24" s="368"/>
      <c r="D24" s="378"/>
      <c r="E24" s="309"/>
    </row>
    <row r="25" spans="1:5" x14ac:dyDescent="0.2">
      <c r="A25" s="389" t="s">
        <v>119</v>
      </c>
      <c r="B25" s="392"/>
      <c r="C25" s="392"/>
      <c r="D25" s="392"/>
      <c r="E25" s="391">
        <f>SUM(E3:E23)</f>
        <v>322288</v>
      </c>
    </row>
    <row r="26" spans="1:5" x14ac:dyDescent="0.2">
      <c r="A26" s="389" t="s">
        <v>121</v>
      </c>
      <c r="B26" s="392"/>
      <c r="C26" s="392"/>
      <c r="D26" s="392"/>
      <c r="E26" s="391">
        <f>E25/4</f>
        <v>80572</v>
      </c>
    </row>
    <row r="27" spans="1:5" x14ac:dyDescent="0.2">
      <c r="A27" s="389" t="s">
        <v>120</v>
      </c>
      <c r="B27" s="392"/>
      <c r="C27" s="392"/>
      <c r="D27" s="392"/>
      <c r="E27" s="391">
        <f>E25+E26</f>
        <v>402860</v>
      </c>
    </row>
  </sheetData>
  <phoneticPr fontId="28" type="noConversion"/>
  <pageMargins left="0.75" right="0.75" top="1" bottom="1" header="0.5" footer="0.5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Munka4"/>
  <dimension ref="A1:E39"/>
  <sheetViews>
    <sheetView workbookViewId="0">
      <selection activeCell="D10" sqref="D10"/>
    </sheetView>
  </sheetViews>
  <sheetFormatPr defaultRowHeight="12.75" outlineLevelRow="1" x14ac:dyDescent="0.2"/>
  <cols>
    <col min="1" max="1" width="38.85546875" style="12" customWidth="1"/>
    <col min="2" max="2" width="9" style="12" bestFit="1" customWidth="1"/>
    <col min="3" max="3" width="8.28515625" style="12" bestFit="1" customWidth="1"/>
    <col min="4" max="4" width="12.140625" style="14" bestFit="1" customWidth="1"/>
    <col min="5" max="5" width="30.85546875" style="24" customWidth="1"/>
    <col min="6" max="16384" width="9.140625" style="11"/>
  </cols>
  <sheetData>
    <row r="1" spans="1:5" x14ac:dyDescent="0.2">
      <c r="B1" s="4" t="s">
        <v>609</v>
      </c>
      <c r="C1" s="4" t="s">
        <v>723</v>
      </c>
      <c r="D1" s="4" t="s">
        <v>1717</v>
      </c>
      <c r="E1" s="4" t="s">
        <v>1391</v>
      </c>
    </row>
    <row r="2" spans="1:5" ht="13.5" thickBot="1" x14ac:dyDescent="0.25"/>
    <row r="3" spans="1:5" ht="15" customHeight="1" thickBot="1" x14ac:dyDescent="0.25">
      <c r="A3" s="6" t="s">
        <v>719</v>
      </c>
      <c r="B3" s="15"/>
      <c r="C3" s="332"/>
      <c r="D3" s="15"/>
      <c r="E3" s="15">
        <f>SUM(E6:E39)</f>
        <v>1406450</v>
      </c>
    </row>
    <row r="4" spans="1:5" ht="15" customHeight="1" outlineLevel="1" x14ac:dyDescent="0.2">
      <c r="A4" s="17"/>
      <c r="B4" s="17"/>
      <c r="C4" s="17"/>
      <c r="D4" s="18"/>
    </row>
    <row r="5" spans="1:5" ht="15" customHeight="1" outlineLevel="1" x14ac:dyDescent="0.2">
      <c r="A5" s="68" t="s">
        <v>905</v>
      </c>
      <c r="B5" s="17"/>
      <c r="C5" s="17"/>
      <c r="D5" s="18"/>
    </row>
    <row r="6" spans="1:5" outlineLevel="1" x14ac:dyDescent="0.2">
      <c r="A6" s="17" t="s">
        <v>1715</v>
      </c>
      <c r="B6" s="17" t="s">
        <v>623</v>
      </c>
      <c r="C6" s="17">
        <v>50</v>
      </c>
      <c r="D6" s="18">
        <v>1900</v>
      </c>
      <c r="E6" s="198">
        <f>C6*D6</f>
        <v>95000</v>
      </c>
    </row>
    <row r="7" spans="1:5" outlineLevel="1" x14ac:dyDescent="0.2">
      <c r="A7" s="17"/>
      <c r="B7" s="17"/>
      <c r="C7" s="17"/>
      <c r="D7" s="18"/>
      <c r="E7" s="12"/>
    </row>
    <row r="8" spans="1:5" outlineLevel="1" x14ac:dyDescent="0.2">
      <c r="A8" s="17" t="s">
        <v>1409</v>
      </c>
      <c r="B8" s="17" t="s">
        <v>611</v>
      </c>
      <c r="C8" s="17">
        <v>60</v>
      </c>
      <c r="D8" s="197">
        <v>2000</v>
      </c>
      <c r="E8" s="198">
        <f>C8*D8</f>
        <v>120000</v>
      </c>
    </row>
    <row r="9" spans="1:5" outlineLevel="1" x14ac:dyDescent="0.2">
      <c r="A9" s="17"/>
      <c r="B9" s="17"/>
      <c r="C9" s="17"/>
      <c r="D9" s="18"/>
      <c r="E9" s="12"/>
    </row>
    <row r="10" spans="1:5" outlineLevel="1" x14ac:dyDescent="0.2">
      <c r="A10" s="17" t="s">
        <v>1331</v>
      </c>
      <c r="B10" s="17" t="s">
        <v>623</v>
      </c>
      <c r="C10" s="17">
        <v>25</v>
      </c>
      <c r="D10" s="18">
        <v>1200</v>
      </c>
      <c r="E10" s="198">
        <f>C10*D10</f>
        <v>30000</v>
      </c>
    </row>
    <row r="11" spans="1:5" outlineLevel="1" x14ac:dyDescent="0.2">
      <c r="A11" s="17" t="s">
        <v>1042</v>
      </c>
      <c r="B11" s="17" t="s">
        <v>623</v>
      </c>
      <c r="C11" s="17">
        <v>25</v>
      </c>
      <c r="D11" s="18">
        <v>1200</v>
      </c>
      <c r="E11" s="198">
        <f>C11*D11</f>
        <v>30000</v>
      </c>
    </row>
    <row r="12" spans="1:5" outlineLevel="1" x14ac:dyDescent="0.2">
      <c r="A12" s="17"/>
      <c r="B12" s="17"/>
      <c r="C12" s="17"/>
      <c r="D12" s="18"/>
      <c r="E12" s="12"/>
    </row>
    <row r="13" spans="1:5" outlineLevel="1" x14ac:dyDescent="0.2">
      <c r="A13" s="51" t="s">
        <v>1041</v>
      </c>
      <c r="B13" s="17" t="s">
        <v>611</v>
      </c>
      <c r="C13" s="17">
        <v>110</v>
      </c>
      <c r="D13" s="18">
        <v>165</v>
      </c>
      <c r="E13" s="198">
        <f>C13*D13</f>
        <v>18150</v>
      </c>
    </row>
    <row r="14" spans="1:5" outlineLevel="1" x14ac:dyDescent="0.2">
      <c r="A14" s="51"/>
      <c r="B14" s="17"/>
      <c r="C14" s="17"/>
      <c r="D14" s="18"/>
      <c r="E14" s="12"/>
    </row>
    <row r="15" spans="1:5" outlineLevel="1" x14ac:dyDescent="0.2">
      <c r="A15" s="17" t="s">
        <v>1716</v>
      </c>
      <c r="B15" s="17" t="s">
        <v>618</v>
      </c>
      <c r="C15" s="17">
        <v>75</v>
      </c>
      <c r="D15" s="197">
        <v>500</v>
      </c>
      <c r="E15" s="198">
        <f>C15*D15</f>
        <v>37500</v>
      </c>
    </row>
    <row r="16" spans="1:5" outlineLevel="1" x14ac:dyDescent="0.2">
      <c r="A16" s="17"/>
      <c r="B16" s="17"/>
      <c r="C16" s="17"/>
      <c r="D16" s="18"/>
      <c r="E16" s="12"/>
    </row>
    <row r="17" spans="1:5" outlineLevel="1" x14ac:dyDescent="0.2">
      <c r="A17" s="17" t="s">
        <v>1149</v>
      </c>
      <c r="B17" s="17" t="s">
        <v>611</v>
      </c>
      <c r="C17" s="17">
        <v>110</v>
      </c>
      <c r="D17" s="18">
        <v>700</v>
      </c>
      <c r="E17" s="198">
        <f>C17*D17</f>
        <v>77000</v>
      </c>
    </row>
    <row r="18" spans="1:5" outlineLevel="1" x14ac:dyDescent="0.2">
      <c r="A18" s="17"/>
      <c r="B18" s="17"/>
      <c r="C18" s="17"/>
      <c r="D18" s="18"/>
      <c r="E18" s="12"/>
    </row>
    <row r="19" spans="1:5" outlineLevel="1" x14ac:dyDescent="0.2">
      <c r="A19" s="17" t="s">
        <v>1586</v>
      </c>
      <c r="B19" s="17" t="s">
        <v>611</v>
      </c>
      <c r="C19" s="17">
        <v>30</v>
      </c>
      <c r="D19" s="18">
        <v>280</v>
      </c>
      <c r="E19" s="198">
        <f>C19*D19</f>
        <v>8400</v>
      </c>
    </row>
    <row r="20" spans="1:5" s="50" customFormat="1" ht="13.5" outlineLevel="1" thickBot="1" x14ac:dyDescent="0.25">
      <c r="A20" s="48"/>
      <c r="B20" s="48"/>
      <c r="C20" s="48"/>
      <c r="D20" s="49"/>
      <c r="E20" s="335"/>
    </row>
    <row r="21" spans="1:5" s="53" customFormat="1" outlineLevel="1" x14ac:dyDescent="0.2">
      <c r="A21" s="51"/>
      <c r="B21" s="51"/>
      <c r="C21" s="51"/>
      <c r="D21" s="52"/>
      <c r="E21" s="24"/>
    </row>
    <row r="22" spans="1:5" outlineLevel="1" x14ac:dyDescent="0.2">
      <c r="A22" s="68" t="s">
        <v>904</v>
      </c>
      <c r="B22" s="17"/>
      <c r="C22" s="17"/>
      <c r="D22" s="18"/>
    </row>
    <row r="23" spans="1:5" outlineLevel="1" x14ac:dyDescent="0.2">
      <c r="A23" s="17" t="s">
        <v>779</v>
      </c>
      <c r="B23" s="17" t="s">
        <v>611</v>
      </c>
      <c r="C23" s="17">
        <v>190</v>
      </c>
      <c r="D23" s="18">
        <v>1650</v>
      </c>
      <c r="E23" s="198">
        <f>C23*D23</f>
        <v>313500</v>
      </c>
    </row>
    <row r="24" spans="1:5" outlineLevel="1" x14ac:dyDescent="0.2">
      <c r="A24" s="17" t="s">
        <v>780</v>
      </c>
      <c r="B24" s="17" t="s">
        <v>611</v>
      </c>
      <c r="C24" s="17">
        <v>95</v>
      </c>
      <c r="D24" s="18">
        <v>1300</v>
      </c>
      <c r="E24" s="198">
        <f>C24*D24</f>
        <v>123500</v>
      </c>
    </row>
    <row r="25" spans="1:5" s="50" customFormat="1" ht="13.5" outlineLevel="1" thickBot="1" x14ac:dyDescent="0.25">
      <c r="A25" s="100"/>
      <c r="B25" s="48"/>
      <c r="C25" s="48"/>
      <c r="D25" s="49"/>
      <c r="E25" s="334"/>
    </row>
    <row r="26" spans="1:5" s="53" customFormat="1" outlineLevel="1" x14ac:dyDescent="0.2">
      <c r="A26" s="51"/>
      <c r="B26" s="51"/>
      <c r="C26" s="51"/>
      <c r="D26" s="52"/>
      <c r="E26" s="24"/>
    </row>
    <row r="27" spans="1:5" outlineLevel="1" x14ac:dyDescent="0.2">
      <c r="A27" s="68" t="s">
        <v>903</v>
      </c>
      <c r="B27" s="17"/>
      <c r="C27" s="17"/>
      <c r="D27" s="18"/>
    </row>
    <row r="28" spans="1:5" outlineLevel="1" x14ac:dyDescent="0.2">
      <c r="A28" s="19" t="s">
        <v>1148</v>
      </c>
      <c r="B28" s="101" t="s">
        <v>706</v>
      </c>
      <c r="C28" s="337">
        <v>2.5</v>
      </c>
      <c r="D28" s="102">
        <v>82000</v>
      </c>
      <c r="E28" s="198">
        <f>C28*D28</f>
        <v>205000</v>
      </c>
    </row>
    <row r="29" spans="1:5" outlineLevel="1" x14ac:dyDescent="0.2">
      <c r="A29" s="17" t="s">
        <v>1020</v>
      </c>
      <c r="B29" s="17" t="s">
        <v>618</v>
      </c>
      <c r="C29" s="17">
        <v>10</v>
      </c>
      <c r="D29" s="18">
        <v>1850</v>
      </c>
      <c r="E29" s="198">
        <f>C29*D29</f>
        <v>18500</v>
      </c>
    </row>
    <row r="30" spans="1:5" outlineLevel="1" x14ac:dyDescent="0.2">
      <c r="A30" s="17" t="s">
        <v>1021</v>
      </c>
      <c r="B30" s="17" t="s">
        <v>618</v>
      </c>
      <c r="C30" s="17">
        <v>10</v>
      </c>
      <c r="D30" s="18">
        <v>1600</v>
      </c>
      <c r="E30" s="198">
        <f>C30*D30</f>
        <v>16000</v>
      </c>
    </row>
    <row r="31" spans="1:5" outlineLevel="1" x14ac:dyDescent="0.2">
      <c r="A31" s="17"/>
      <c r="B31" s="17"/>
      <c r="C31" s="17"/>
      <c r="D31" s="18"/>
      <c r="E31" s="198"/>
    </row>
    <row r="32" spans="1:5" outlineLevel="1" x14ac:dyDescent="0.2">
      <c r="A32" s="17" t="s">
        <v>1158</v>
      </c>
      <c r="B32" s="17" t="s">
        <v>642</v>
      </c>
      <c r="C32" s="17">
        <v>30</v>
      </c>
      <c r="D32" s="18">
        <v>350</v>
      </c>
      <c r="E32" s="198">
        <f>C32*D32</f>
        <v>10500</v>
      </c>
    </row>
    <row r="33" spans="1:5" outlineLevel="1" x14ac:dyDescent="0.2">
      <c r="A33" s="17"/>
      <c r="B33" s="17"/>
      <c r="C33" s="17"/>
      <c r="D33" s="18"/>
      <c r="E33" s="309"/>
    </row>
    <row r="34" spans="1:5" outlineLevel="1" x14ac:dyDescent="0.2">
      <c r="A34" s="17" t="s">
        <v>717</v>
      </c>
      <c r="B34" s="17" t="s">
        <v>618</v>
      </c>
      <c r="C34" s="17">
        <v>75</v>
      </c>
      <c r="D34" s="18">
        <v>1850</v>
      </c>
      <c r="E34" s="198">
        <f>C34*D34</f>
        <v>138750</v>
      </c>
    </row>
    <row r="35" spans="1:5" s="53" customFormat="1" outlineLevel="1" x14ac:dyDescent="0.2">
      <c r="A35" s="51" t="s">
        <v>1152</v>
      </c>
      <c r="B35" s="51" t="s">
        <v>618</v>
      </c>
      <c r="C35" s="51">
        <v>75</v>
      </c>
      <c r="D35" s="52">
        <v>560</v>
      </c>
      <c r="E35" s="198">
        <f>C35*D35</f>
        <v>42000</v>
      </c>
    </row>
    <row r="36" spans="1:5" s="53" customFormat="1" outlineLevel="1" x14ac:dyDescent="0.2">
      <c r="A36" s="51"/>
      <c r="B36" s="51"/>
      <c r="C36" s="51"/>
      <c r="D36" s="52"/>
      <c r="E36" s="314"/>
    </row>
    <row r="37" spans="1:5" outlineLevel="1" x14ac:dyDescent="0.2">
      <c r="A37" s="17" t="s">
        <v>1161</v>
      </c>
      <c r="B37" s="17" t="s">
        <v>611</v>
      </c>
      <c r="C37" s="17">
        <v>110</v>
      </c>
      <c r="D37" s="18">
        <v>790</v>
      </c>
      <c r="E37" s="198">
        <f>C37*D37</f>
        <v>86900</v>
      </c>
    </row>
    <row r="38" spans="1:5" outlineLevel="1" x14ac:dyDescent="0.2">
      <c r="A38" s="17" t="s">
        <v>1712</v>
      </c>
      <c r="B38" s="17" t="s">
        <v>611</v>
      </c>
      <c r="C38" s="17">
        <v>110</v>
      </c>
      <c r="D38" s="18">
        <v>325</v>
      </c>
      <c r="E38" s="198">
        <f>C38*D38</f>
        <v>35750</v>
      </c>
    </row>
    <row r="39" spans="1:5" s="50" customFormat="1" ht="13.5" outlineLevel="1" thickBot="1" x14ac:dyDescent="0.25">
      <c r="A39" s="48"/>
      <c r="B39" s="48"/>
      <c r="C39" s="48"/>
      <c r="D39" s="49"/>
      <c r="E39" s="335"/>
    </row>
  </sheetData>
  <phoneticPr fontId="28" type="noConversion"/>
  <pageMargins left="0.75" right="0.75" top="1" bottom="1" header="0.5" footer="0.5"/>
  <headerFooter alignWithMargins="0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Munka45">
    <pageSetUpPr fitToPage="1"/>
  </sheetPr>
  <dimension ref="A3:P50"/>
  <sheetViews>
    <sheetView topLeftCell="A28" workbookViewId="0">
      <selection activeCell="M52" sqref="M52"/>
    </sheetView>
  </sheetViews>
  <sheetFormatPr defaultRowHeight="12.75" x14ac:dyDescent="0.2"/>
  <cols>
    <col min="2" max="2" width="34" bestFit="1" customWidth="1"/>
    <col min="3" max="3" width="11.42578125" customWidth="1"/>
    <col min="4" max="4" width="11.7109375" style="2" customWidth="1"/>
    <col min="5" max="5" width="12.42578125" style="2" customWidth="1"/>
    <col min="6" max="6" width="13.5703125" bestFit="1" customWidth="1"/>
    <col min="7" max="7" width="13.28515625" bestFit="1" customWidth="1"/>
    <col min="8" max="8" width="16.42578125" bestFit="1" customWidth="1"/>
    <col min="9" max="9" width="16" customWidth="1"/>
    <col min="10" max="10" width="13.28515625" customWidth="1"/>
    <col min="11" max="11" width="13.7109375" customWidth="1"/>
    <col min="12" max="12" width="14.28515625" customWidth="1"/>
    <col min="13" max="13" width="14.7109375" customWidth="1"/>
    <col min="14" max="14" width="11.5703125" customWidth="1"/>
    <col min="15" max="15" width="11.140625" customWidth="1"/>
  </cols>
  <sheetData>
    <row r="3" spans="2:16" x14ac:dyDescent="0.2">
      <c r="C3" t="s">
        <v>206</v>
      </c>
      <c r="D3" s="2" t="s">
        <v>205</v>
      </c>
      <c r="E3" s="2" t="s">
        <v>1413</v>
      </c>
      <c r="F3" t="s">
        <v>229</v>
      </c>
      <c r="G3" t="s">
        <v>228</v>
      </c>
      <c r="H3" t="s">
        <v>418</v>
      </c>
      <c r="I3" t="s">
        <v>431</v>
      </c>
    </row>
    <row r="4" spans="2:16" x14ac:dyDescent="0.2">
      <c r="B4" s="310" t="s">
        <v>215</v>
      </c>
      <c r="C4" s="310">
        <v>2400</v>
      </c>
      <c r="D4" s="396">
        <v>173</v>
      </c>
      <c r="E4" s="396">
        <f t="shared" ref="E4:E21" si="0">D4*C4</f>
        <v>415200</v>
      </c>
      <c r="F4" s="29">
        <v>387000</v>
      </c>
      <c r="G4" s="29">
        <v>391050</v>
      </c>
      <c r="H4" s="29">
        <v>391050</v>
      </c>
      <c r="I4" s="29"/>
      <c r="J4" t="s">
        <v>216</v>
      </c>
    </row>
    <row r="5" spans="2:16" x14ac:dyDescent="0.2">
      <c r="B5" s="310" t="s">
        <v>212</v>
      </c>
      <c r="C5" s="310">
        <v>150</v>
      </c>
      <c r="D5" s="396">
        <v>838</v>
      </c>
      <c r="E5" s="396">
        <f t="shared" si="0"/>
        <v>125700</v>
      </c>
      <c r="F5" s="29">
        <v>135600</v>
      </c>
      <c r="G5" s="29">
        <v>116227</v>
      </c>
      <c r="H5" s="29">
        <v>116227</v>
      </c>
      <c r="I5" s="29"/>
      <c r="J5" t="s">
        <v>213</v>
      </c>
    </row>
    <row r="6" spans="2:16" x14ac:dyDescent="0.2">
      <c r="B6" s="310" t="s">
        <v>1282</v>
      </c>
      <c r="C6" s="310">
        <v>7</v>
      </c>
      <c r="D6" s="396">
        <v>1251</v>
      </c>
      <c r="E6" s="396">
        <f t="shared" si="0"/>
        <v>8757</v>
      </c>
      <c r="F6" s="29">
        <v>8115</v>
      </c>
      <c r="G6" s="29">
        <v>8014</v>
      </c>
      <c r="H6" s="29">
        <v>8014</v>
      </c>
      <c r="I6" s="29"/>
    </row>
    <row r="7" spans="2:16" x14ac:dyDescent="0.2">
      <c r="B7" s="310" t="s">
        <v>193</v>
      </c>
      <c r="C7" s="310">
        <v>3</v>
      </c>
      <c r="D7" s="396">
        <v>1251</v>
      </c>
      <c r="E7" s="396">
        <f t="shared" si="0"/>
        <v>3753</v>
      </c>
      <c r="F7" s="29">
        <v>3253</v>
      </c>
      <c r="G7" s="29">
        <v>3434</v>
      </c>
      <c r="H7" s="29">
        <v>3434</v>
      </c>
      <c r="I7" s="29"/>
    </row>
    <row r="8" spans="2:16" x14ac:dyDescent="0.2">
      <c r="B8" s="310" t="s">
        <v>1071</v>
      </c>
      <c r="C8" s="310">
        <v>25</v>
      </c>
      <c r="D8" s="396">
        <v>948</v>
      </c>
      <c r="E8" s="396">
        <v>948</v>
      </c>
      <c r="F8" s="29">
        <v>25234</v>
      </c>
      <c r="G8" s="29">
        <v>21702</v>
      </c>
      <c r="H8" s="29">
        <v>21702</v>
      </c>
      <c r="I8" s="29"/>
    </row>
    <row r="9" spans="2:16" x14ac:dyDescent="0.2">
      <c r="B9" s="310" t="s">
        <v>225</v>
      </c>
      <c r="C9" s="310">
        <v>2</v>
      </c>
      <c r="D9" s="396"/>
      <c r="E9" s="396"/>
      <c r="F9" s="29"/>
      <c r="G9" s="29"/>
      <c r="H9" s="29"/>
      <c r="I9" s="29"/>
    </row>
    <row r="10" spans="2:16" x14ac:dyDescent="0.2">
      <c r="B10" s="310" t="s">
        <v>226</v>
      </c>
      <c r="C10" s="310">
        <v>1</v>
      </c>
      <c r="D10" s="396"/>
      <c r="E10" s="396"/>
      <c r="F10" s="29"/>
      <c r="G10" s="29"/>
      <c r="H10" s="29"/>
      <c r="I10" s="29"/>
    </row>
    <row r="11" spans="2:16" x14ac:dyDescent="0.2">
      <c r="B11" s="310" t="s">
        <v>227</v>
      </c>
      <c r="C11" s="310">
        <v>2</v>
      </c>
      <c r="D11" s="396"/>
      <c r="E11" s="396"/>
      <c r="F11" s="29"/>
      <c r="G11" s="29"/>
      <c r="H11" s="29"/>
      <c r="I11" s="29"/>
    </row>
    <row r="12" spans="2:16" x14ac:dyDescent="0.2">
      <c r="B12" s="310" t="s">
        <v>232</v>
      </c>
      <c r="C12" s="310">
        <v>10</v>
      </c>
      <c r="D12" s="396">
        <v>97</v>
      </c>
      <c r="E12" s="396">
        <f>D12*C12</f>
        <v>970</v>
      </c>
      <c r="F12" s="29">
        <v>970</v>
      </c>
      <c r="G12" s="29">
        <v>970</v>
      </c>
      <c r="H12" s="29">
        <v>970</v>
      </c>
      <c r="I12" s="29"/>
    </row>
    <row r="13" spans="2:16" x14ac:dyDescent="0.2">
      <c r="B13" s="69"/>
    </row>
    <row r="14" spans="2:16" x14ac:dyDescent="0.2">
      <c r="B14" s="69" t="s">
        <v>210</v>
      </c>
      <c r="C14" s="69">
        <v>47</v>
      </c>
      <c r="D14" s="3">
        <v>1756</v>
      </c>
      <c r="E14" s="3">
        <f t="shared" si="0"/>
        <v>82532</v>
      </c>
      <c r="F14">
        <v>105625</v>
      </c>
      <c r="G14" s="339">
        <v>75534</v>
      </c>
      <c r="H14" s="339">
        <v>90190</v>
      </c>
      <c r="I14" s="339"/>
      <c r="J14">
        <v>6.6</v>
      </c>
      <c r="K14">
        <v>6.6</v>
      </c>
      <c r="L14">
        <v>7</v>
      </c>
      <c r="M14">
        <v>7</v>
      </c>
      <c r="N14">
        <v>7</v>
      </c>
      <c r="O14">
        <v>5.2</v>
      </c>
      <c r="P14">
        <v>5.2</v>
      </c>
    </row>
    <row r="15" spans="2:16" x14ac:dyDescent="0.2">
      <c r="B15" s="69" t="s">
        <v>214</v>
      </c>
      <c r="C15" s="69">
        <v>15</v>
      </c>
      <c r="D15" s="3">
        <v>1798</v>
      </c>
      <c r="E15" s="3">
        <f t="shared" si="0"/>
        <v>26970</v>
      </c>
      <c r="G15" s="339">
        <v>24671</v>
      </c>
      <c r="H15" s="339"/>
      <c r="I15" s="339"/>
      <c r="J15">
        <v>2.7</v>
      </c>
      <c r="K15">
        <v>8.4499999999999993</v>
      </c>
      <c r="L15">
        <v>1.9</v>
      </c>
    </row>
    <row r="16" spans="2:16" x14ac:dyDescent="0.2">
      <c r="B16" s="69" t="s">
        <v>211</v>
      </c>
      <c r="C16" s="69">
        <v>66</v>
      </c>
      <c r="D16" s="3">
        <v>370</v>
      </c>
      <c r="E16" s="3">
        <f t="shared" si="0"/>
        <v>24420</v>
      </c>
      <c r="F16">
        <v>25988</v>
      </c>
      <c r="G16" s="339">
        <v>22350</v>
      </c>
      <c r="H16" s="339">
        <v>10100</v>
      </c>
      <c r="I16" s="339"/>
      <c r="J16" t="s">
        <v>209</v>
      </c>
    </row>
    <row r="17" spans="2:12" x14ac:dyDescent="0.2">
      <c r="B17" s="69" t="s">
        <v>224</v>
      </c>
      <c r="C17" s="69">
        <v>40</v>
      </c>
      <c r="D17" s="3">
        <v>258</v>
      </c>
      <c r="E17" s="3">
        <f t="shared" si="0"/>
        <v>10320</v>
      </c>
      <c r="F17">
        <v>11000</v>
      </c>
      <c r="G17" s="339">
        <v>9460</v>
      </c>
      <c r="H17" s="339">
        <v>7200</v>
      </c>
      <c r="I17" s="339"/>
      <c r="J17" t="s">
        <v>223</v>
      </c>
    </row>
    <row r="18" spans="2:12" x14ac:dyDescent="0.2">
      <c r="B18" s="69" t="s">
        <v>207</v>
      </c>
      <c r="C18" s="69">
        <v>1</v>
      </c>
      <c r="D18" s="3">
        <v>1316</v>
      </c>
      <c r="E18" s="3">
        <f t="shared" si="0"/>
        <v>1316</v>
      </c>
      <c r="F18">
        <v>1400</v>
      </c>
      <c r="G18" s="339">
        <v>1205</v>
      </c>
      <c r="H18" s="339">
        <v>2400</v>
      </c>
      <c r="I18" s="339"/>
    </row>
    <row r="19" spans="2:12" x14ac:dyDescent="0.2">
      <c r="B19" s="69" t="s">
        <v>231</v>
      </c>
      <c r="C19" s="69">
        <v>13</v>
      </c>
      <c r="D19" s="3">
        <v>8437</v>
      </c>
      <c r="E19" s="3">
        <f t="shared" si="0"/>
        <v>109681</v>
      </c>
      <c r="F19">
        <v>109681</v>
      </c>
      <c r="G19" s="339">
        <v>94330</v>
      </c>
      <c r="H19" s="339">
        <v>47400</v>
      </c>
      <c r="I19" s="339"/>
      <c r="J19">
        <v>5.2</v>
      </c>
      <c r="K19">
        <v>6.6</v>
      </c>
      <c r="L19">
        <v>6.6</v>
      </c>
    </row>
    <row r="20" spans="2:12" x14ac:dyDescent="0.2">
      <c r="B20" s="69" t="s">
        <v>208</v>
      </c>
      <c r="C20" s="69">
        <v>1</v>
      </c>
      <c r="D20" s="3">
        <v>31824</v>
      </c>
      <c r="E20" s="3">
        <f t="shared" si="0"/>
        <v>31824</v>
      </c>
      <c r="F20">
        <v>33281</v>
      </c>
      <c r="G20" s="339">
        <v>28622</v>
      </c>
      <c r="H20" s="339">
        <v>20400</v>
      </c>
      <c r="I20" s="339"/>
    </row>
    <row r="21" spans="2:12" x14ac:dyDescent="0.2">
      <c r="B21" s="69" t="s">
        <v>230</v>
      </c>
      <c r="C21" s="69">
        <v>1</v>
      </c>
      <c r="D21" s="3">
        <v>18125</v>
      </c>
      <c r="E21" s="3">
        <f t="shared" si="0"/>
        <v>18125</v>
      </c>
      <c r="F21">
        <v>19281</v>
      </c>
      <c r="G21" s="339">
        <v>19281</v>
      </c>
      <c r="H21" s="339">
        <v>16755</v>
      </c>
      <c r="I21" s="339"/>
    </row>
    <row r="23" spans="2:12" x14ac:dyDescent="0.2">
      <c r="B23" s="69" t="s">
        <v>217</v>
      </c>
      <c r="C23" s="69">
        <v>0</v>
      </c>
      <c r="D23" s="3">
        <v>275</v>
      </c>
      <c r="E23" s="3">
        <f>D23*C23</f>
        <v>0</v>
      </c>
      <c r="J23" t="s">
        <v>216</v>
      </c>
      <c r="K23" t="s">
        <v>218</v>
      </c>
      <c r="L23" t="s">
        <v>219</v>
      </c>
    </row>
    <row r="24" spans="2:12" x14ac:dyDescent="0.2">
      <c r="B24" s="69" t="s">
        <v>221</v>
      </c>
      <c r="C24" s="69">
        <v>300</v>
      </c>
      <c r="D24" s="3">
        <v>175</v>
      </c>
      <c r="E24" s="3">
        <f>D24*C24</f>
        <v>52500</v>
      </c>
      <c r="F24">
        <v>61875</v>
      </c>
      <c r="G24">
        <v>53213</v>
      </c>
      <c r="H24">
        <v>53213</v>
      </c>
      <c r="J24" t="s">
        <v>220</v>
      </c>
      <c r="K24" t="s">
        <v>222</v>
      </c>
    </row>
    <row r="25" spans="2:12" x14ac:dyDescent="0.2">
      <c r="E25" s="2">
        <f>SUM(E4:E24)</f>
        <v>913016</v>
      </c>
      <c r="F25" s="2">
        <f>SUM(F4:F24)</f>
        <v>928303</v>
      </c>
      <c r="G25" s="2">
        <f>SUM(G4:G24)</f>
        <v>870063</v>
      </c>
      <c r="H25" s="2">
        <f>SUM(H4:H24)</f>
        <v>789055</v>
      </c>
      <c r="I25" s="2"/>
    </row>
    <row r="32" spans="2:12" x14ac:dyDescent="0.2">
      <c r="E32" s="2" t="s">
        <v>431</v>
      </c>
    </row>
    <row r="33" spans="1:15" x14ac:dyDescent="0.2">
      <c r="A33" t="s">
        <v>449</v>
      </c>
      <c r="B33" s="69" t="s">
        <v>440</v>
      </c>
      <c r="C33" s="69">
        <v>65</v>
      </c>
      <c r="D33" s="3">
        <v>338</v>
      </c>
      <c r="E33" s="3">
        <f t="shared" ref="E33:E38" si="1">D33*C33</f>
        <v>21970</v>
      </c>
      <c r="G33" s="339"/>
      <c r="H33" s="339"/>
    </row>
    <row r="34" spans="1:15" x14ac:dyDescent="0.2">
      <c r="B34" s="69" t="s">
        <v>207</v>
      </c>
      <c r="C34" s="69">
        <v>1</v>
      </c>
      <c r="D34" s="3">
        <v>1863</v>
      </c>
      <c r="E34" s="396">
        <f t="shared" si="1"/>
        <v>1863</v>
      </c>
    </row>
    <row r="35" spans="1:15" x14ac:dyDescent="0.2">
      <c r="B35" s="69" t="s">
        <v>441</v>
      </c>
      <c r="C35" s="69">
        <v>1</v>
      </c>
      <c r="D35" s="3">
        <v>19950</v>
      </c>
      <c r="E35" s="396">
        <f t="shared" si="1"/>
        <v>19950</v>
      </c>
    </row>
    <row r="36" spans="1:15" x14ac:dyDescent="0.2">
      <c r="A36" t="s">
        <v>449</v>
      </c>
      <c r="B36" s="69" t="s">
        <v>442</v>
      </c>
      <c r="C36" s="69">
        <v>70</v>
      </c>
      <c r="D36" s="3">
        <v>1238</v>
      </c>
      <c r="E36" s="396">
        <f t="shared" si="1"/>
        <v>86660</v>
      </c>
    </row>
    <row r="37" spans="1:15" x14ac:dyDescent="0.2">
      <c r="A37" t="s">
        <v>451</v>
      </c>
      <c r="B37" s="69" t="s">
        <v>443</v>
      </c>
      <c r="C37" s="69">
        <v>46</v>
      </c>
      <c r="D37" s="3">
        <v>155</v>
      </c>
      <c r="E37" s="396">
        <f t="shared" si="1"/>
        <v>7130</v>
      </c>
    </row>
    <row r="38" spans="1:15" x14ac:dyDescent="0.2">
      <c r="B38" s="69" t="s">
        <v>457</v>
      </c>
      <c r="C38" s="69">
        <v>26</v>
      </c>
      <c r="D38" s="3">
        <v>1365</v>
      </c>
      <c r="E38" s="396">
        <f t="shared" si="1"/>
        <v>35490</v>
      </c>
    </row>
    <row r="40" spans="1:15" x14ac:dyDescent="0.2">
      <c r="D40" s="1146" t="s">
        <v>446</v>
      </c>
      <c r="E40" s="1146"/>
      <c r="F40" s="1146" t="s">
        <v>447</v>
      </c>
      <c r="G40" s="1146"/>
      <c r="H40" s="1146" t="s">
        <v>454</v>
      </c>
      <c r="I40" s="1146"/>
      <c r="J40" s="1146" t="s">
        <v>458</v>
      </c>
      <c r="K40" s="1146"/>
      <c r="L40" s="1146" t="s">
        <v>466</v>
      </c>
      <c r="M40" s="1146"/>
      <c r="N40" s="1146" t="s">
        <v>467</v>
      </c>
      <c r="O40" s="1146"/>
    </row>
    <row r="41" spans="1:15" x14ac:dyDescent="0.2">
      <c r="A41" t="s">
        <v>449</v>
      </c>
      <c r="B41" s="69" t="s">
        <v>469</v>
      </c>
      <c r="C41" s="69">
        <v>66</v>
      </c>
      <c r="D41" s="3">
        <v>0</v>
      </c>
      <c r="E41" s="3">
        <f>D41*$C$41</f>
        <v>0</v>
      </c>
      <c r="F41" s="3">
        <v>560</v>
      </c>
      <c r="G41" s="396">
        <f>F41*$C$41</f>
        <v>36960</v>
      </c>
      <c r="H41" s="3">
        <v>0</v>
      </c>
      <c r="I41" s="3">
        <f>H41*$C$41</f>
        <v>0</v>
      </c>
      <c r="J41" s="3">
        <v>395</v>
      </c>
      <c r="K41" s="3">
        <f>J41*$C$41</f>
        <v>26070</v>
      </c>
      <c r="L41" s="3">
        <v>0</v>
      </c>
      <c r="M41" s="3">
        <f>L41*$C$41</f>
        <v>0</v>
      </c>
      <c r="N41" s="3">
        <v>0</v>
      </c>
      <c r="O41" s="3">
        <f>N41*$C$41</f>
        <v>0</v>
      </c>
    </row>
    <row r="42" spans="1:15" x14ac:dyDescent="0.2">
      <c r="A42" t="s">
        <v>450</v>
      </c>
      <c r="B42" s="69" t="s">
        <v>444</v>
      </c>
      <c r="C42" s="69">
        <v>26</v>
      </c>
      <c r="D42" s="3">
        <v>2326</v>
      </c>
      <c r="E42" s="3">
        <f>D42*$C$42</f>
        <v>60476</v>
      </c>
      <c r="F42" s="3">
        <v>2040</v>
      </c>
      <c r="G42" s="3">
        <f>F42*$C$42</f>
        <v>53040</v>
      </c>
      <c r="H42" s="3">
        <v>2063</v>
      </c>
      <c r="I42" s="3">
        <f>H42*$C$42</f>
        <v>53638</v>
      </c>
      <c r="J42" s="3">
        <v>0</v>
      </c>
      <c r="K42" s="3">
        <f>J42*$C$42</f>
        <v>0</v>
      </c>
      <c r="L42" s="3">
        <v>0</v>
      </c>
      <c r="M42" s="3">
        <f>L42*$C$42</f>
        <v>0</v>
      </c>
      <c r="N42" s="3">
        <v>0</v>
      </c>
      <c r="O42" s="3">
        <f>N42*$C$42</f>
        <v>0</v>
      </c>
    </row>
    <row r="43" spans="1:15" x14ac:dyDescent="0.2">
      <c r="B43" s="69"/>
      <c r="C43" s="6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B44" s="69" t="s">
        <v>445</v>
      </c>
      <c r="C44" s="69">
        <v>85</v>
      </c>
      <c r="D44" s="3">
        <v>338</v>
      </c>
      <c r="E44" s="391">
        <f>D44*$C$44</f>
        <v>28730</v>
      </c>
      <c r="F44" s="3">
        <v>425</v>
      </c>
      <c r="G44" s="3">
        <f>F44*$C$44</f>
        <v>36125</v>
      </c>
      <c r="H44" s="3">
        <v>400</v>
      </c>
      <c r="I44" s="391">
        <f>H44*$C$44</f>
        <v>34000</v>
      </c>
      <c r="J44" s="3">
        <v>319</v>
      </c>
      <c r="K44" s="396">
        <f>J44*$C$44</f>
        <v>27115</v>
      </c>
      <c r="L44" s="3">
        <v>540</v>
      </c>
      <c r="M44" s="391">
        <f>L44*$C$44</f>
        <v>45900</v>
      </c>
      <c r="N44" s="3">
        <v>600</v>
      </c>
      <c r="O44" s="391">
        <f>N44*$C$44</f>
        <v>51000</v>
      </c>
    </row>
    <row r="45" spans="1:15" x14ac:dyDescent="0.2">
      <c r="A45" t="s">
        <v>449</v>
      </c>
      <c r="B45" s="69" t="s">
        <v>448</v>
      </c>
      <c r="C45" s="69">
        <v>76</v>
      </c>
      <c r="D45" s="3">
        <v>550</v>
      </c>
      <c r="E45" s="3">
        <f>D45*$C$45</f>
        <v>41800</v>
      </c>
      <c r="F45" s="3">
        <v>630</v>
      </c>
      <c r="G45" s="3">
        <f>F45*$C$45</f>
        <v>47880</v>
      </c>
      <c r="H45" s="3">
        <v>500</v>
      </c>
      <c r="I45" s="396">
        <f>H45*$C$45</f>
        <v>38000</v>
      </c>
      <c r="J45" s="3">
        <v>488</v>
      </c>
      <c r="K45" s="3">
        <f>J45*$C$45</f>
        <v>37088</v>
      </c>
      <c r="L45" s="3">
        <v>1075</v>
      </c>
      <c r="M45" s="396">
        <f>L45*$C$45</f>
        <v>81700</v>
      </c>
      <c r="N45" s="3">
        <v>1500</v>
      </c>
      <c r="O45" s="396">
        <f>N45*$C$45</f>
        <v>114000</v>
      </c>
    </row>
    <row r="46" spans="1:15" x14ac:dyDescent="0.2">
      <c r="B46" s="69" t="s">
        <v>452</v>
      </c>
      <c r="C46" s="69">
        <v>7</v>
      </c>
      <c r="D46" s="3">
        <v>1350</v>
      </c>
      <c r="E46" s="3">
        <f>D46*$C$46</f>
        <v>9450</v>
      </c>
      <c r="F46" s="3">
        <v>1200</v>
      </c>
      <c r="G46" s="3">
        <f>F46*$C$46</f>
        <v>8400</v>
      </c>
      <c r="H46" s="3">
        <v>810</v>
      </c>
      <c r="I46" s="396">
        <f>H46*$C$46</f>
        <v>5670</v>
      </c>
      <c r="J46" s="3">
        <v>975</v>
      </c>
      <c r="K46" s="391">
        <f>J46*$C$46</f>
        <v>6825</v>
      </c>
      <c r="L46" s="3">
        <v>1500</v>
      </c>
      <c r="M46" s="396">
        <f>L46*$C$46</f>
        <v>10500</v>
      </c>
      <c r="N46" s="3">
        <v>1100</v>
      </c>
      <c r="O46" s="396">
        <f>N46*$C$46</f>
        <v>7700</v>
      </c>
    </row>
    <row r="47" spans="1:15" x14ac:dyDescent="0.2">
      <c r="B47" s="69" t="s">
        <v>453</v>
      </c>
      <c r="C47" s="69">
        <v>3</v>
      </c>
      <c r="D47" s="3">
        <v>1350</v>
      </c>
      <c r="E47" s="3">
        <f>D47*$C$47</f>
        <v>4050</v>
      </c>
      <c r="F47" s="3">
        <v>1200</v>
      </c>
      <c r="G47" s="3">
        <f>F47*$C$47</f>
        <v>3600</v>
      </c>
      <c r="H47" s="3">
        <v>810</v>
      </c>
      <c r="I47" s="396">
        <f>H47*$C$47</f>
        <v>2430</v>
      </c>
      <c r="J47" s="3">
        <v>975</v>
      </c>
      <c r="K47" s="391">
        <f>J47*$C$47</f>
        <v>2925</v>
      </c>
      <c r="L47" s="3">
        <v>1500</v>
      </c>
      <c r="M47" s="396">
        <f>L47*$C$47</f>
        <v>4500</v>
      </c>
      <c r="N47" s="3">
        <v>1100</v>
      </c>
      <c r="O47" s="396">
        <f>N47*$C$47</f>
        <v>3300</v>
      </c>
    </row>
    <row r="48" spans="1:15" x14ac:dyDescent="0.2">
      <c r="B48" s="69" t="s">
        <v>455</v>
      </c>
      <c r="C48" s="69">
        <v>6</v>
      </c>
      <c r="D48" s="3">
        <v>0</v>
      </c>
      <c r="E48" s="3">
        <f>D48*$C$48</f>
        <v>0</v>
      </c>
      <c r="F48" s="3">
        <v>760</v>
      </c>
      <c r="G48" s="3">
        <f>F48*$C$48</f>
        <v>4560</v>
      </c>
      <c r="H48" s="3">
        <v>750</v>
      </c>
      <c r="I48" s="396">
        <f>H48*$C$48</f>
        <v>4500</v>
      </c>
      <c r="J48" s="3">
        <v>1425</v>
      </c>
      <c r="K48" s="391">
        <f>J48*$C$48</f>
        <v>8550</v>
      </c>
      <c r="L48" s="3">
        <v>1110</v>
      </c>
      <c r="M48" s="396">
        <f>L48*$C$48</f>
        <v>6660</v>
      </c>
      <c r="N48" s="3">
        <v>1450</v>
      </c>
      <c r="O48" s="396">
        <f>N48*$C$48</f>
        <v>8700</v>
      </c>
    </row>
    <row r="49" spans="2:15" x14ac:dyDescent="0.2">
      <c r="B49" s="69" t="s">
        <v>456</v>
      </c>
      <c r="C49" s="69">
        <v>6</v>
      </c>
      <c r="D49" s="3">
        <v>1350</v>
      </c>
      <c r="E49" s="3">
        <f>D49*$C$49</f>
        <v>8100</v>
      </c>
      <c r="F49" s="3">
        <v>960</v>
      </c>
      <c r="G49" s="3">
        <f>F49*$C$49</f>
        <v>5760</v>
      </c>
      <c r="H49" s="3">
        <v>935</v>
      </c>
      <c r="I49" s="391">
        <f>H49*$C$49</f>
        <v>5610</v>
      </c>
      <c r="J49" s="3">
        <v>725</v>
      </c>
      <c r="K49" s="396">
        <f>J49*$C$49</f>
        <v>4350</v>
      </c>
      <c r="L49" s="3">
        <v>1125</v>
      </c>
      <c r="M49" s="391">
        <f>L49*$C$49</f>
        <v>6750</v>
      </c>
      <c r="N49" s="3">
        <v>1265</v>
      </c>
      <c r="O49" s="391">
        <f>N49*$C$49</f>
        <v>7590</v>
      </c>
    </row>
    <row r="50" spans="2:15" x14ac:dyDescent="0.2">
      <c r="B50" s="69" t="s">
        <v>468</v>
      </c>
      <c r="C50" s="69">
        <v>12</v>
      </c>
      <c r="D50" s="3">
        <v>0</v>
      </c>
      <c r="E50" s="3">
        <f>D50*$C$50</f>
        <v>0</v>
      </c>
      <c r="F50" s="3">
        <v>0</v>
      </c>
      <c r="G50" s="3">
        <f>F50*$C$50</f>
        <v>0</v>
      </c>
      <c r="H50" s="3">
        <v>0</v>
      </c>
      <c r="I50" s="391">
        <f>H50*$C$50</f>
        <v>0</v>
      </c>
      <c r="J50" s="3">
        <v>0</v>
      </c>
      <c r="K50" s="396">
        <f>J50*$C$50</f>
        <v>0</v>
      </c>
      <c r="L50" s="3">
        <v>1145</v>
      </c>
      <c r="M50" s="391">
        <f>L50*$C$50</f>
        <v>13740</v>
      </c>
      <c r="N50" s="3">
        <v>1500</v>
      </c>
      <c r="O50" s="391">
        <f>N50*$C$50</f>
        <v>18000</v>
      </c>
    </row>
  </sheetData>
  <mergeCells count="6">
    <mergeCell ref="L40:M40"/>
    <mergeCell ref="N40:O40"/>
    <mergeCell ref="D40:E40"/>
    <mergeCell ref="F40:G40"/>
    <mergeCell ref="H40:I40"/>
    <mergeCell ref="J40:K40"/>
  </mergeCells>
  <phoneticPr fontId="28" type="noConversion"/>
  <pageMargins left="0.75" right="0.75" top="1" bottom="1" header="0.5" footer="0.5"/>
  <pageSetup paperSize="9" scale="80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Munka6"/>
  <dimension ref="A1:F63"/>
  <sheetViews>
    <sheetView workbookViewId="0">
      <pane ySplit="1" topLeftCell="A26" activePane="bottomLeft" state="frozen"/>
      <selection pane="bottomLeft" activeCell="F16" sqref="F16"/>
    </sheetView>
  </sheetViews>
  <sheetFormatPr defaultRowHeight="12.75" x14ac:dyDescent="0.2"/>
  <cols>
    <col min="1" max="1" width="50.5703125" style="12" bestFit="1" customWidth="1"/>
    <col min="2" max="2" width="9" style="12" bestFit="1" customWidth="1"/>
    <col min="3" max="3" width="11.5703125" style="14" bestFit="1" customWidth="1"/>
    <col min="4" max="4" width="13" style="69" customWidth="1"/>
    <col min="5" max="5" width="3.28515625" style="11" customWidth="1"/>
    <col min="6" max="16384" width="9.140625" style="11"/>
  </cols>
  <sheetData>
    <row r="1" spans="1:6" x14ac:dyDescent="0.2">
      <c r="B1" s="4" t="s">
        <v>609</v>
      </c>
      <c r="C1" s="4" t="s">
        <v>720</v>
      </c>
    </row>
    <row r="2" spans="1:6" ht="13.5" thickBot="1" x14ac:dyDescent="0.25"/>
    <row r="3" spans="1:6" ht="15" customHeight="1" thickBot="1" x14ac:dyDescent="0.25">
      <c r="A3" s="6" t="s">
        <v>719</v>
      </c>
      <c r="B3" s="15"/>
      <c r="C3" s="15"/>
      <c r="E3" s="13" t="s">
        <v>789</v>
      </c>
      <c r="F3" s="13"/>
    </row>
    <row r="4" spans="1:6" ht="15" customHeight="1" x14ac:dyDescent="0.2">
      <c r="A4" s="17"/>
      <c r="B4" s="17"/>
      <c r="C4" s="18"/>
      <c r="E4" s="13"/>
      <c r="F4" s="13"/>
    </row>
    <row r="5" spans="1:6" ht="15" customHeight="1" x14ac:dyDescent="0.2">
      <c r="A5" s="68" t="s">
        <v>905</v>
      </c>
      <c r="B5" s="17"/>
      <c r="C5" s="18"/>
      <c r="E5" s="13"/>
      <c r="F5" s="13"/>
    </row>
    <row r="6" spans="1:6" x14ac:dyDescent="0.2">
      <c r="A6" s="17" t="s">
        <v>1163</v>
      </c>
      <c r="B6" s="17" t="s">
        <v>623</v>
      </c>
      <c r="C6" s="18">
        <v>0</v>
      </c>
    </row>
    <row r="7" spans="1:6" x14ac:dyDescent="0.2">
      <c r="A7" s="17"/>
      <c r="B7" s="17"/>
      <c r="C7" s="18"/>
    </row>
    <row r="8" spans="1:6" x14ac:dyDescent="0.2">
      <c r="A8" s="17" t="s">
        <v>716</v>
      </c>
      <c r="B8" s="17" t="s">
        <v>623</v>
      </c>
      <c r="C8" s="18">
        <v>0</v>
      </c>
    </row>
    <row r="9" spans="1:6" x14ac:dyDescent="0.2">
      <c r="A9" s="17"/>
      <c r="B9" s="17"/>
      <c r="C9" s="18"/>
    </row>
    <row r="10" spans="1:6" x14ac:dyDescent="0.2">
      <c r="A10" s="17" t="s">
        <v>1147</v>
      </c>
      <c r="B10" s="17" t="s">
        <v>618</v>
      </c>
      <c r="C10" s="18">
        <v>0</v>
      </c>
    </row>
    <row r="11" spans="1:6" x14ac:dyDescent="0.2">
      <c r="A11" s="17" t="s">
        <v>792</v>
      </c>
      <c r="B11" s="17" t="s">
        <v>623</v>
      </c>
      <c r="C11" s="18">
        <v>0</v>
      </c>
    </row>
    <row r="12" spans="1:6" x14ac:dyDescent="0.2">
      <c r="A12" s="17"/>
      <c r="B12" s="17"/>
      <c r="C12" s="18"/>
    </row>
    <row r="13" spans="1:6" x14ac:dyDescent="0.2">
      <c r="A13" s="17" t="s">
        <v>1164</v>
      </c>
      <c r="B13" s="17" t="s">
        <v>623</v>
      </c>
      <c r="C13" s="18">
        <v>0</v>
      </c>
    </row>
    <row r="14" spans="1:6" x14ac:dyDescent="0.2">
      <c r="A14" s="17"/>
      <c r="B14" s="17"/>
      <c r="C14" s="18"/>
    </row>
    <row r="15" spans="1:6" x14ac:dyDescent="0.2">
      <c r="A15" s="51" t="s">
        <v>1153</v>
      </c>
      <c r="B15" s="17" t="s">
        <v>611</v>
      </c>
      <c r="C15" s="18">
        <v>0</v>
      </c>
    </row>
    <row r="16" spans="1:6" x14ac:dyDescent="0.2">
      <c r="A16" s="51"/>
      <c r="B16" s="17"/>
      <c r="C16" s="18"/>
    </row>
    <row r="17" spans="1:4" x14ac:dyDescent="0.2">
      <c r="A17" s="17" t="s">
        <v>1149</v>
      </c>
      <c r="B17" s="17" t="s">
        <v>611</v>
      </c>
      <c r="C17" s="18">
        <v>0</v>
      </c>
    </row>
    <row r="18" spans="1:4" x14ac:dyDescent="0.2">
      <c r="A18" s="17"/>
      <c r="B18" s="17"/>
      <c r="C18" s="18"/>
    </row>
    <row r="19" spans="1:4" x14ac:dyDescent="0.2">
      <c r="A19" s="17" t="s">
        <v>1151</v>
      </c>
      <c r="B19" s="17" t="s">
        <v>611</v>
      </c>
      <c r="C19" s="18">
        <v>0</v>
      </c>
    </row>
    <row r="20" spans="1:4" x14ac:dyDescent="0.2">
      <c r="A20" s="17" t="s">
        <v>1150</v>
      </c>
      <c r="B20" s="17" t="s">
        <v>611</v>
      </c>
      <c r="C20" s="18">
        <v>0</v>
      </c>
    </row>
    <row r="21" spans="1:4" x14ac:dyDescent="0.2">
      <c r="A21" s="17"/>
      <c r="B21" s="17"/>
      <c r="C21" s="18"/>
    </row>
    <row r="22" spans="1:4" s="50" customFormat="1" ht="13.5" thickBot="1" x14ac:dyDescent="0.25">
      <c r="A22" s="48" t="s">
        <v>1040</v>
      </c>
      <c r="B22" s="48" t="s">
        <v>611</v>
      </c>
      <c r="C22" s="49">
        <v>0</v>
      </c>
      <c r="D22" s="73"/>
    </row>
    <row r="23" spans="1:4" s="53" customFormat="1" x14ac:dyDescent="0.2">
      <c r="A23" s="51"/>
      <c r="B23" s="51"/>
      <c r="C23" s="52"/>
      <c r="D23" s="74"/>
    </row>
    <row r="24" spans="1:4" x14ac:dyDescent="0.2">
      <c r="A24" s="68" t="s">
        <v>904</v>
      </c>
      <c r="B24" s="17"/>
      <c r="C24" s="18"/>
    </row>
    <row r="25" spans="1:4" x14ac:dyDescent="0.2">
      <c r="A25" s="17" t="s">
        <v>768</v>
      </c>
      <c r="B25" s="17" t="s">
        <v>618</v>
      </c>
      <c r="C25" s="18">
        <v>0</v>
      </c>
    </row>
    <row r="26" spans="1:4" x14ac:dyDescent="0.2">
      <c r="A26" s="17" t="s">
        <v>779</v>
      </c>
      <c r="B26" s="17" t="s">
        <v>611</v>
      </c>
      <c r="C26" s="18">
        <v>0</v>
      </c>
    </row>
    <row r="27" spans="1:4" x14ac:dyDescent="0.2">
      <c r="A27" s="17" t="s">
        <v>780</v>
      </c>
      <c r="B27" s="17" t="s">
        <v>611</v>
      </c>
      <c r="C27" s="18">
        <v>0</v>
      </c>
      <c r="D27" s="3"/>
    </row>
    <row r="28" spans="1:4" x14ac:dyDescent="0.2">
      <c r="A28" s="17"/>
      <c r="B28" s="17"/>
      <c r="C28" s="18"/>
      <c r="D28" s="3"/>
    </row>
    <row r="29" spans="1:4" s="53" customFormat="1" x14ac:dyDescent="0.2">
      <c r="A29" s="51" t="s">
        <v>900</v>
      </c>
      <c r="B29" s="51" t="s">
        <v>611</v>
      </c>
      <c r="C29" s="52">
        <v>0</v>
      </c>
      <c r="D29" s="75"/>
    </row>
    <row r="30" spans="1:4" s="53" customFormat="1" x14ac:dyDescent="0.2">
      <c r="A30" s="51"/>
      <c r="B30" s="51"/>
      <c r="C30" s="52"/>
      <c r="D30" s="75"/>
    </row>
    <row r="31" spans="1:4" x14ac:dyDescent="0.2">
      <c r="A31" s="67" t="s">
        <v>1154</v>
      </c>
      <c r="B31" s="17" t="s">
        <v>611</v>
      </c>
      <c r="C31" s="18">
        <v>0</v>
      </c>
    </row>
    <row r="32" spans="1:4" s="50" customFormat="1" ht="13.5" thickBot="1" x14ac:dyDescent="0.25">
      <c r="A32" s="100" t="s">
        <v>1155</v>
      </c>
      <c r="B32" s="48" t="s">
        <v>611</v>
      </c>
      <c r="C32" s="49">
        <v>0</v>
      </c>
      <c r="D32" s="73"/>
    </row>
    <row r="33" spans="1:4" s="53" customFormat="1" x14ac:dyDescent="0.2">
      <c r="A33" s="51"/>
      <c r="B33" s="51"/>
      <c r="C33" s="52"/>
      <c r="D33" s="74"/>
    </row>
    <row r="34" spans="1:4" x14ac:dyDescent="0.2">
      <c r="A34" s="68" t="s">
        <v>903</v>
      </c>
      <c r="B34" s="17"/>
      <c r="C34" s="18"/>
    </row>
    <row r="35" spans="1:4" x14ac:dyDescent="0.2">
      <c r="A35" s="19" t="s">
        <v>1148</v>
      </c>
      <c r="B35" s="101" t="s">
        <v>706</v>
      </c>
      <c r="C35" s="102">
        <v>0</v>
      </c>
    </row>
    <row r="36" spans="1:4" x14ac:dyDescent="0.2">
      <c r="A36" s="17" t="s">
        <v>1156</v>
      </c>
      <c r="B36" s="17" t="s">
        <v>618</v>
      </c>
      <c r="C36" s="18">
        <v>0</v>
      </c>
    </row>
    <row r="37" spans="1:4" x14ac:dyDescent="0.2">
      <c r="A37" s="17" t="s">
        <v>1157</v>
      </c>
      <c r="B37" s="17" t="s">
        <v>618</v>
      </c>
      <c r="C37" s="18">
        <v>0</v>
      </c>
    </row>
    <row r="38" spans="1:4" x14ac:dyDescent="0.2">
      <c r="A38" s="17"/>
      <c r="B38" s="17"/>
      <c r="C38" s="18"/>
    </row>
    <row r="39" spans="1:4" x14ac:dyDescent="0.2">
      <c r="A39" s="17" t="s">
        <v>1158</v>
      </c>
      <c r="B39" s="17" t="s">
        <v>642</v>
      </c>
      <c r="C39" s="18">
        <v>0</v>
      </c>
    </row>
    <row r="40" spans="1:4" x14ac:dyDescent="0.2">
      <c r="A40" s="17"/>
      <c r="B40" s="17"/>
      <c r="C40" s="18"/>
    </row>
    <row r="41" spans="1:4" x14ac:dyDescent="0.2">
      <c r="A41" s="17" t="s">
        <v>1159</v>
      </c>
      <c r="B41" s="17" t="s">
        <v>611</v>
      </c>
      <c r="C41" s="18">
        <v>0</v>
      </c>
    </row>
    <row r="42" spans="1:4" x14ac:dyDescent="0.2">
      <c r="A42" s="17"/>
      <c r="B42" s="17"/>
      <c r="C42" s="18"/>
    </row>
    <row r="43" spans="1:4" x14ac:dyDescent="0.2">
      <c r="A43" s="17" t="s">
        <v>1161</v>
      </c>
      <c r="B43" s="17" t="s">
        <v>611</v>
      </c>
      <c r="C43" s="18">
        <v>0</v>
      </c>
    </row>
    <row r="44" spans="1:4" x14ac:dyDescent="0.2">
      <c r="A44" s="17" t="s">
        <v>1160</v>
      </c>
      <c r="B44" s="17" t="s">
        <v>611</v>
      </c>
      <c r="C44" s="18">
        <v>0</v>
      </c>
    </row>
    <row r="45" spans="1:4" x14ac:dyDescent="0.2">
      <c r="A45" s="17"/>
      <c r="B45" s="17"/>
      <c r="C45" s="18"/>
    </row>
    <row r="46" spans="1:4" x14ac:dyDescent="0.2">
      <c r="A46" s="17" t="s">
        <v>717</v>
      </c>
      <c r="B46" s="17" t="s">
        <v>618</v>
      </c>
      <c r="C46" s="18">
        <v>0</v>
      </c>
    </row>
    <row r="47" spans="1:4" s="50" customFormat="1" ht="13.5" thickBot="1" x14ac:dyDescent="0.25">
      <c r="A47" s="48" t="s">
        <v>1152</v>
      </c>
      <c r="B47" s="48" t="s">
        <v>611</v>
      </c>
      <c r="C47" s="49">
        <v>0</v>
      </c>
      <c r="D47" s="73"/>
    </row>
    <row r="48" spans="1:4" s="53" customFormat="1" x14ac:dyDescent="0.2">
      <c r="A48" s="51"/>
      <c r="B48" s="51"/>
      <c r="C48" s="52"/>
      <c r="D48" s="74"/>
    </row>
    <row r="49" spans="1:4" x14ac:dyDescent="0.2">
      <c r="A49" s="68" t="s">
        <v>669</v>
      </c>
      <c r="B49" s="17"/>
      <c r="C49" s="18"/>
    </row>
    <row r="50" spans="1:4" x14ac:dyDescent="0.2">
      <c r="A50" s="17" t="s">
        <v>718</v>
      </c>
      <c r="B50" s="17" t="s">
        <v>611</v>
      </c>
      <c r="C50" s="18">
        <v>0</v>
      </c>
    </row>
    <row r="51" spans="1:4" x14ac:dyDescent="0.2">
      <c r="A51" s="17" t="s">
        <v>708</v>
      </c>
      <c r="B51" s="17" t="s">
        <v>618</v>
      </c>
      <c r="C51" s="18">
        <v>0</v>
      </c>
    </row>
    <row r="52" spans="1:4" x14ac:dyDescent="0.2">
      <c r="A52" s="17" t="s">
        <v>711</v>
      </c>
      <c r="B52" s="17" t="s">
        <v>642</v>
      </c>
      <c r="C52" s="18">
        <v>0</v>
      </c>
    </row>
    <row r="53" spans="1:4" s="50" customFormat="1" ht="13.5" thickBot="1" x14ac:dyDescent="0.25">
      <c r="A53" s="48" t="s">
        <v>712</v>
      </c>
      <c r="B53" s="48" t="s">
        <v>618</v>
      </c>
      <c r="C53" s="49">
        <v>0</v>
      </c>
      <c r="D53" s="73"/>
    </row>
    <row r="54" spans="1:4" ht="13.5" thickBot="1" x14ac:dyDescent="0.25"/>
    <row r="55" spans="1:4" ht="13.5" thickBot="1" x14ac:dyDescent="0.25">
      <c r="A55" s="6" t="s">
        <v>662</v>
      </c>
      <c r="B55" s="7"/>
      <c r="C55" s="16"/>
    </row>
    <row r="56" spans="1:4" x14ac:dyDescent="0.2">
      <c r="A56" s="17" t="s">
        <v>923</v>
      </c>
      <c r="B56" s="17" t="s">
        <v>611</v>
      </c>
      <c r="C56" s="18">
        <v>0</v>
      </c>
    </row>
    <row r="57" spans="1:4" x14ac:dyDescent="0.2">
      <c r="A57" s="17" t="s">
        <v>924</v>
      </c>
      <c r="B57" s="17" t="s">
        <v>611</v>
      </c>
      <c r="C57" s="18">
        <v>0</v>
      </c>
    </row>
    <row r="58" spans="1:4" x14ac:dyDescent="0.2">
      <c r="A58" s="17"/>
      <c r="B58" s="17"/>
      <c r="C58" s="18"/>
    </row>
    <row r="59" spans="1:4" x14ac:dyDescent="0.2">
      <c r="A59" s="17" t="s">
        <v>799</v>
      </c>
      <c r="B59" s="17" t="s">
        <v>642</v>
      </c>
      <c r="C59" s="18">
        <v>0</v>
      </c>
    </row>
    <row r="60" spans="1:4" ht="13.5" thickBot="1" x14ac:dyDescent="0.25">
      <c r="A60" s="11"/>
      <c r="B60" s="11"/>
      <c r="C60" s="11"/>
    </row>
    <row r="61" spans="1:4" ht="13.5" thickBot="1" x14ac:dyDescent="0.25">
      <c r="A61" s="6" t="s">
        <v>902</v>
      </c>
      <c r="B61" s="7"/>
      <c r="C61" s="16"/>
    </row>
    <row r="62" spans="1:4" x14ac:dyDescent="0.2">
      <c r="A62" s="17" t="s">
        <v>1162</v>
      </c>
      <c r="B62" s="17" t="s">
        <v>642</v>
      </c>
      <c r="C62" s="18">
        <v>0</v>
      </c>
    </row>
    <row r="63" spans="1:4" s="53" customFormat="1" x14ac:dyDescent="0.2">
      <c r="A63" s="51"/>
      <c r="B63" s="51"/>
      <c r="C63" s="52"/>
      <c r="D63" s="74"/>
    </row>
  </sheetData>
  <phoneticPr fontId="0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Munka9"/>
  <dimension ref="B2:G8"/>
  <sheetViews>
    <sheetView workbookViewId="0">
      <selection activeCell="J29" sqref="J29"/>
    </sheetView>
  </sheetViews>
  <sheetFormatPr defaultRowHeight="12.75" x14ac:dyDescent="0.2"/>
  <cols>
    <col min="2" max="2" width="19.85546875" customWidth="1"/>
    <col min="4" max="4" width="12.85546875" customWidth="1"/>
    <col min="7" max="7" width="11.5703125" customWidth="1"/>
  </cols>
  <sheetData>
    <row r="2" spans="2:7" x14ac:dyDescent="0.2">
      <c r="C2" t="s">
        <v>642</v>
      </c>
      <c r="D2" t="s">
        <v>64</v>
      </c>
      <c r="E2" t="s">
        <v>65</v>
      </c>
    </row>
    <row r="3" spans="2:7" x14ac:dyDescent="0.2">
      <c r="B3" t="s">
        <v>63</v>
      </c>
      <c r="C3">
        <v>37</v>
      </c>
      <c r="D3">
        <v>16</v>
      </c>
      <c r="E3">
        <f>C3*D3</f>
        <v>592</v>
      </c>
    </row>
    <row r="4" spans="2:7" x14ac:dyDescent="0.2">
      <c r="B4" t="s">
        <v>66</v>
      </c>
      <c r="C4">
        <v>37</v>
      </c>
      <c r="D4">
        <v>7</v>
      </c>
      <c r="E4">
        <f>C4*D4</f>
        <v>259</v>
      </c>
    </row>
    <row r="5" spans="2:7" x14ac:dyDescent="0.2">
      <c r="B5" t="s">
        <v>69</v>
      </c>
      <c r="C5">
        <v>37</v>
      </c>
      <c r="D5">
        <v>30</v>
      </c>
      <c r="E5">
        <f>C5*D5</f>
        <v>1110</v>
      </c>
    </row>
    <row r="6" spans="2:7" x14ac:dyDescent="0.2">
      <c r="B6" t="s">
        <v>68</v>
      </c>
      <c r="C6">
        <v>21</v>
      </c>
      <c r="D6">
        <v>15</v>
      </c>
      <c r="E6">
        <f>C6*D6</f>
        <v>315</v>
      </c>
    </row>
    <row r="7" spans="2:7" x14ac:dyDescent="0.2">
      <c r="B7" t="s">
        <v>67</v>
      </c>
      <c r="C7">
        <v>8</v>
      </c>
      <c r="D7">
        <v>16</v>
      </c>
      <c r="E7">
        <f>C7*D7</f>
        <v>128</v>
      </c>
    </row>
    <row r="8" spans="2:7" x14ac:dyDescent="0.2">
      <c r="E8">
        <f>SUM(E3:E7)</f>
        <v>2404</v>
      </c>
      <c r="F8">
        <v>2478</v>
      </c>
      <c r="G8" t="s">
        <v>70</v>
      </c>
    </row>
  </sheetData>
  <phoneticPr fontId="28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Munka12"/>
  <dimension ref="A3:M51"/>
  <sheetViews>
    <sheetView workbookViewId="0">
      <selection activeCell="J21" sqref="J21"/>
    </sheetView>
  </sheetViews>
  <sheetFormatPr defaultRowHeight="12.75" x14ac:dyDescent="0.2"/>
  <cols>
    <col min="1" max="1" width="10.7109375" bestFit="1" customWidth="1"/>
    <col min="2" max="2" width="23.5703125" style="1" bestFit="1" customWidth="1"/>
    <col min="3" max="4" width="9.140625" style="1"/>
    <col min="5" max="5" width="12.5703125" style="1" customWidth="1"/>
    <col min="6" max="6" width="12" style="77" customWidth="1"/>
  </cols>
  <sheetData>
    <row r="3" spans="1:6" x14ac:dyDescent="0.2">
      <c r="B3" s="1" t="s">
        <v>1024</v>
      </c>
      <c r="C3" s="1" t="s">
        <v>642</v>
      </c>
      <c r="D3" s="1" t="s">
        <v>618</v>
      </c>
      <c r="E3" s="1" t="s">
        <v>1026</v>
      </c>
      <c r="F3" s="77" t="s">
        <v>1023</v>
      </c>
    </row>
    <row r="7" spans="1:6" x14ac:dyDescent="0.2">
      <c r="A7" t="s">
        <v>1028</v>
      </c>
      <c r="B7" s="1" t="s">
        <v>1027</v>
      </c>
    </row>
    <row r="8" spans="1:6" x14ac:dyDescent="0.2">
      <c r="B8" s="1" t="s">
        <v>1029</v>
      </c>
      <c r="C8" s="1">
        <v>195</v>
      </c>
      <c r="E8" s="1">
        <v>1875</v>
      </c>
      <c r="F8" s="77">
        <f>C8*E8</f>
        <v>365625</v>
      </c>
    </row>
    <row r="9" spans="1:6" x14ac:dyDescent="0.2">
      <c r="B9" s="1" t="s">
        <v>1030</v>
      </c>
      <c r="C9" s="1">
        <v>680</v>
      </c>
      <c r="E9" s="1">
        <v>400</v>
      </c>
      <c r="F9" s="77">
        <f>C9*E9</f>
        <v>272000</v>
      </c>
    </row>
    <row r="10" spans="1:6" x14ac:dyDescent="0.2">
      <c r="F10" s="78">
        <f>SUM(F8:F9)</f>
        <v>637625</v>
      </c>
    </row>
    <row r="13" spans="1:6" x14ac:dyDescent="0.2">
      <c r="A13" t="s">
        <v>1037</v>
      </c>
      <c r="B13" s="1" t="s">
        <v>1038</v>
      </c>
    </row>
    <row r="14" spans="1:6" x14ac:dyDescent="0.2">
      <c r="B14" s="1">
        <v>2.4</v>
      </c>
      <c r="C14" s="1">
        <v>8</v>
      </c>
      <c r="D14" s="1">
        <f>B14*C14</f>
        <v>19.2</v>
      </c>
      <c r="E14" s="1">
        <v>3664</v>
      </c>
      <c r="F14" s="77">
        <f>C14*E14</f>
        <v>29312</v>
      </c>
    </row>
    <row r="15" spans="1:6" x14ac:dyDescent="0.2">
      <c r="B15" s="1">
        <v>2.8</v>
      </c>
      <c r="C15" s="1">
        <v>13</v>
      </c>
      <c r="D15" s="1">
        <f>B15*C15</f>
        <v>36.4</v>
      </c>
      <c r="E15" s="1">
        <v>4280</v>
      </c>
      <c r="F15" s="77">
        <f>C15*E15</f>
        <v>55640</v>
      </c>
    </row>
    <row r="16" spans="1:6" x14ac:dyDescent="0.2">
      <c r="B16" s="1">
        <v>3.6</v>
      </c>
      <c r="C16" s="1">
        <v>24</v>
      </c>
      <c r="D16" s="1">
        <f>B16*C16</f>
        <v>86.4</v>
      </c>
      <c r="E16" s="1">
        <v>5408</v>
      </c>
      <c r="F16" s="77">
        <f>C16*E16</f>
        <v>129792</v>
      </c>
    </row>
    <row r="17" spans="1:6" x14ac:dyDescent="0.2">
      <c r="B17" s="1">
        <v>4.2</v>
      </c>
      <c r="C17" s="1">
        <v>11</v>
      </c>
      <c r="D17" s="1">
        <f>B17*C17</f>
        <v>46.2</v>
      </c>
      <c r="E17" s="1">
        <v>7214</v>
      </c>
      <c r="F17" s="77">
        <f>C17*E17</f>
        <v>79354</v>
      </c>
    </row>
    <row r="18" spans="1:6" x14ac:dyDescent="0.2">
      <c r="B18" s="1" t="s">
        <v>1025</v>
      </c>
      <c r="C18" s="1">
        <v>680</v>
      </c>
      <c r="E18" s="1">
        <v>194</v>
      </c>
      <c r="F18" s="77">
        <f>C18*E18</f>
        <v>131920</v>
      </c>
    </row>
    <row r="19" spans="1:6" x14ac:dyDescent="0.2">
      <c r="D19" s="1">
        <f>SUM(D14:D18)</f>
        <v>188.2</v>
      </c>
      <c r="F19" s="78">
        <f>SUM(F14:F18)</f>
        <v>426018</v>
      </c>
    </row>
    <row r="21" spans="1:6" ht="18.75" x14ac:dyDescent="0.3">
      <c r="A21" t="s">
        <v>1028</v>
      </c>
      <c r="B21" s="85" t="s">
        <v>1039</v>
      </c>
    </row>
    <row r="22" spans="1:6" x14ac:dyDescent="0.2">
      <c r="B22" s="1">
        <v>2.75</v>
      </c>
      <c r="C22" s="1">
        <v>8</v>
      </c>
      <c r="D22" s="1">
        <f>B22*C22</f>
        <v>22</v>
      </c>
      <c r="E22" s="1">
        <v>4950</v>
      </c>
      <c r="F22" s="77">
        <f>C22*E22</f>
        <v>39600</v>
      </c>
    </row>
    <row r="23" spans="1:6" x14ac:dyDescent="0.2">
      <c r="B23" s="1">
        <v>3.25</v>
      </c>
      <c r="C23" s="1">
        <v>13</v>
      </c>
      <c r="D23" s="1">
        <f>B23*C23</f>
        <v>42.25</v>
      </c>
      <c r="E23" s="1">
        <v>5850</v>
      </c>
      <c r="F23" s="77">
        <f>C23*E23</f>
        <v>76050</v>
      </c>
    </row>
    <row r="24" spans="1:6" x14ac:dyDescent="0.2">
      <c r="B24" s="1">
        <v>4</v>
      </c>
      <c r="C24" s="1">
        <v>24</v>
      </c>
      <c r="D24" s="1">
        <f>B24*C24</f>
        <v>96</v>
      </c>
      <c r="E24" s="1">
        <v>7200</v>
      </c>
      <c r="F24" s="77">
        <f>C24*E24</f>
        <v>172800</v>
      </c>
    </row>
    <row r="25" spans="1:6" x14ac:dyDescent="0.2">
      <c r="B25" s="1">
        <v>4.5</v>
      </c>
      <c r="C25" s="1">
        <v>11</v>
      </c>
      <c r="D25" s="1">
        <f>B25*C25</f>
        <v>49.5</v>
      </c>
      <c r="E25" s="1">
        <v>8100</v>
      </c>
      <c r="F25" s="77">
        <f>C25*E25</f>
        <v>89100</v>
      </c>
    </row>
    <row r="26" spans="1:6" x14ac:dyDescent="0.2">
      <c r="B26" s="1" t="s">
        <v>1025</v>
      </c>
      <c r="C26" s="1">
        <v>680</v>
      </c>
      <c r="E26" s="1">
        <v>452</v>
      </c>
      <c r="F26" s="77">
        <f>C26*E26</f>
        <v>307360</v>
      </c>
    </row>
    <row r="27" spans="1:6" x14ac:dyDescent="0.2">
      <c r="D27" s="1">
        <f>SUM(D22:D26)</f>
        <v>209.75</v>
      </c>
      <c r="F27" s="78">
        <f>SUM(F22:F26)</f>
        <v>684910</v>
      </c>
    </row>
    <row r="29" spans="1:6" x14ac:dyDescent="0.2">
      <c r="A29" t="s">
        <v>1037</v>
      </c>
      <c r="B29" s="1" t="s">
        <v>1038</v>
      </c>
    </row>
    <row r="30" spans="1:6" x14ac:dyDescent="0.2">
      <c r="B30" s="1">
        <v>2.4</v>
      </c>
      <c r="C30" s="1">
        <v>22</v>
      </c>
      <c r="D30" s="1">
        <f>B30*C30</f>
        <v>52.8</v>
      </c>
      <c r="E30" s="1">
        <v>3664</v>
      </c>
      <c r="F30" s="77">
        <f>C30*E30</f>
        <v>80608</v>
      </c>
    </row>
    <row r="31" spans="1:6" x14ac:dyDescent="0.2">
      <c r="B31" s="1">
        <v>6</v>
      </c>
      <c r="C31" s="1">
        <v>10</v>
      </c>
      <c r="D31" s="1">
        <f>B31*C31</f>
        <v>60</v>
      </c>
      <c r="E31" s="1">
        <v>11609</v>
      </c>
      <c r="F31" s="77">
        <f>C31*E31</f>
        <v>116090</v>
      </c>
    </row>
    <row r="32" spans="1:6" x14ac:dyDescent="0.2">
      <c r="B32" s="1">
        <v>4.2</v>
      </c>
      <c r="C32" s="1">
        <v>18</v>
      </c>
      <c r="D32" s="1">
        <f>B32*C32</f>
        <v>75.600000000000009</v>
      </c>
      <c r="E32" s="1">
        <v>7214</v>
      </c>
      <c r="F32" s="77">
        <f>C32*E32</f>
        <v>129852</v>
      </c>
    </row>
    <row r="33" spans="1:13" x14ac:dyDescent="0.2">
      <c r="B33" s="1" t="s">
        <v>1025</v>
      </c>
      <c r="C33" s="1">
        <v>746</v>
      </c>
      <c r="E33" s="1">
        <v>194</v>
      </c>
      <c r="F33" s="77">
        <f>C33*E33</f>
        <v>144724</v>
      </c>
    </row>
    <row r="34" spans="1:13" x14ac:dyDescent="0.2">
      <c r="D34" s="1">
        <f>SUM(D30:D33)</f>
        <v>188.4</v>
      </c>
      <c r="F34" s="78">
        <f>SUM(F30:F33)</f>
        <v>471274</v>
      </c>
    </row>
    <row r="39" spans="1:13" x14ac:dyDescent="0.2">
      <c r="A39" s="29" t="s">
        <v>1037</v>
      </c>
      <c r="B39" s="27" t="s">
        <v>1050</v>
      </c>
      <c r="C39" s="27"/>
      <c r="D39" s="27" t="s">
        <v>618</v>
      </c>
      <c r="E39" s="27"/>
      <c r="F39" s="89"/>
      <c r="I39" t="s">
        <v>59</v>
      </c>
      <c r="J39" t="s">
        <v>58</v>
      </c>
    </row>
    <row r="40" spans="1:13" x14ac:dyDescent="0.2">
      <c r="A40" s="29" t="s">
        <v>1694</v>
      </c>
      <c r="B40" s="27">
        <v>2.4</v>
      </c>
      <c r="C40" s="27">
        <v>26</v>
      </c>
      <c r="D40" s="27">
        <f>B40*C40</f>
        <v>62.4</v>
      </c>
      <c r="E40" s="27">
        <v>4000</v>
      </c>
      <c r="F40" s="89">
        <f>C40*E40</f>
        <v>104000</v>
      </c>
      <c r="H40">
        <v>225</v>
      </c>
      <c r="I40">
        <f>H40-J40</f>
        <v>175</v>
      </c>
      <c r="J40">
        <v>50</v>
      </c>
      <c r="L40">
        <v>299450</v>
      </c>
      <c r="M40">
        <f>L40*1.25</f>
        <v>374312.5</v>
      </c>
    </row>
    <row r="41" spans="1:13" x14ac:dyDescent="0.2">
      <c r="A41" s="29" t="s">
        <v>1695</v>
      </c>
      <c r="B41" s="27">
        <v>4.2</v>
      </c>
      <c r="C41" s="27">
        <v>20</v>
      </c>
      <c r="D41" s="27">
        <f>B41*C41</f>
        <v>84</v>
      </c>
      <c r="E41" s="27">
        <v>7000</v>
      </c>
      <c r="F41" s="89">
        <f>C41*E41</f>
        <v>140000</v>
      </c>
      <c r="H41">
        <f>9*2*16</f>
        <v>288</v>
      </c>
      <c r="I41">
        <f>H41-J41</f>
        <v>252</v>
      </c>
      <c r="J41">
        <f>9*2*2</f>
        <v>36</v>
      </c>
      <c r="L41">
        <v>128700</v>
      </c>
      <c r="M41">
        <f>L41*1.25</f>
        <v>160875</v>
      </c>
    </row>
    <row r="42" spans="1:13" x14ac:dyDescent="0.2">
      <c r="A42" s="29" t="s">
        <v>57</v>
      </c>
      <c r="B42" s="27">
        <v>6.2</v>
      </c>
      <c r="C42" s="27">
        <v>11</v>
      </c>
      <c r="D42" s="27">
        <f>B42*C42</f>
        <v>68.2</v>
      </c>
      <c r="E42" s="27">
        <v>13000</v>
      </c>
      <c r="F42" s="89">
        <f>C42*E42</f>
        <v>143000</v>
      </c>
      <c r="H42">
        <v>240</v>
      </c>
      <c r="I42">
        <f>H42-J42</f>
        <v>220</v>
      </c>
      <c r="J42">
        <f>10*2</f>
        <v>20</v>
      </c>
      <c r="M42">
        <v>75000</v>
      </c>
    </row>
    <row r="43" spans="1:13" x14ac:dyDescent="0.2">
      <c r="A43" s="29"/>
      <c r="B43" s="27" t="s">
        <v>1025</v>
      </c>
      <c r="C43" s="27">
        <v>647</v>
      </c>
      <c r="D43" s="27"/>
      <c r="E43" s="27">
        <v>250</v>
      </c>
      <c r="F43" s="89">
        <f>C43*E43</f>
        <v>161750</v>
      </c>
      <c r="H43">
        <f>SUM(H40:H42)</f>
        <v>753</v>
      </c>
      <c r="I43" s="69">
        <f>SUM(I40:I42)</f>
        <v>647</v>
      </c>
      <c r="J43" s="69">
        <f>SUM(J40:J42)</f>
        <v>106</v>
      </c>
      <c r="M43">
        <v>30000</v>
      </c>
    </row>
    <row r="44" spans="1:13" x14ac:dyDescent="0.2">
      <c r="A44" s="29"/>
      <c r="B44" s="27" t="s">
        <v>1083</v>
      </c>
      <c r="C44" s="27">
        <v>106</v>
      </c>
      <c r="D44" s="27"/>
      <c r="E44" s="27">
        <v>250</v>
      </c>
      <c r="F44" s="89">
        <f>C44*E44</f>
        <v>26500</v>
      </c>
    </row>
    <row r="45" spans="1:13" x14ac:dyDescent="0.2">
      <c r="A45" s="29"/>
      <c r="B45" s="27"/>
      <c r="C45" s="27"/>
      <c r="D45" s="27">
        <f>SUM(D40:D43)</f>
        <v>214.60000000000002</v>
      </c>
      <c r="E45" s="27"/>
      <c r="F45" s="90">
        <f>SUM(F40:F44)</f>
        <v>575250</v>
      </c>
    </row>
    <row r="48" spans="1:13" x14ac:dyDescent="0.2">
      <c r="A48" s="29" t="s">
        <v>1028</v>
      </c>
      <c r="B48" s="27" t="s">
        <v>1027</v>
      </c>
      <c r="C48" s="27"/>
      <c r="D48" s="27"/>
      <c r="E48" s="27"/>
      <c r="F48" s="89"/>
      <c r="H48">
        <v>0.05</v>
      </c>
      <c r="I48">
        <v>0.12</v>
      </c>
    </row>
    <row r="49" spans="1:9" x14ac:dyDescent="0.2">
      <c r="A49" s="29"/>
      <c r="B49" s="27" t="s">
        <v>1029</v>
      </c>
      <c r="C49" s="27">
        <v>215</v>
      </c>
      <c r="D49" s="27"/>
      <c r="E49" s="27">
        <v>1875</v>
      </c>
      <c r="F49" s="89">
        <f>C49*E49</f>
        <v>403125</v>
      </c>
      <c r="H49">
        <v>0.05</v>
      </c>
      <c r="I49">
        <v>2.5000000000000001E-2</v>
      </c>
    </row>
    <row r="50" spans="1:9" x14ac:dyDescent="0.2">
      <c r="A50" s="29"/>
      <c r="B50" s="27" t="s">
        <v>1030</v>
      </c>
      <c r="C50" s="27">
        <v>752</v>
      </c>
      <c r="D50" s="27"/>
      <c r="E50" s="27">
        <v>430</v>
      </c>
      <c r="F50" s="89">
        <f>C50*E50</f>
        <v>323360</v>
      </c>
      <c r="H50">
        <v>1</v>
      </c>
    </row>
    <row r="51" spans="1:9" x14ac:dyDescent="0.2">
      <c r="A51" s="29"/>
      <c r="B51" s="27"/>
      <c r="C51" s="27"/>
      <c r="D51" s="27"/>
      <c r="E51" s="27"/>
      <c r="F51" s="90">
        <f>SUM(F49:F50)</f>
        <v>726485</v>
      </c>
      <c r="G51">
        <v>50000</v>
      </c>
      <c r="H51">
        <f>G51*H48*H49</f>
        <v>125</v>
      </c>
      <c r="I51">
        <f>G51*I48*I49</f>
        <v>150</v>
      </c>
    </row>
  </sheetData>
  <phoneticPr fontId="0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Munka15"/>
  <dimension ref="A2:H21"/>
  <sheetViews>
    <sheetView topLeftCell="C1" workbookViewId="0">
      <selection activeCell="I9" sqref="I9"/>
    </sheetView>
  </sheetViews>
  <sheetFormatPr defaultRowHeight="12.75" x14ac:dyDescent="0.2"/>
  <cols>
    <col min="1" max="1" width="13.7109375" bestFit="1" customWidth="1"/>
    <col min="2" max="2" width="16.42578125" style="2" customWidth="1"/>
    <col min="5" max="5" width="26.140625" bestFit="1" customWidth="1"/>
    <col min="8" max="8" width="14" customWidth="1"/>
  </cols>
  <sheetData>
    <row r="2" spans="1:8" x14ac:dyDescent="0.2">
      <c r="F2" t="s">
        <v>952</v>
      </c>
      <c r="G2" t="s">
        <v>953</v>
      </c>
    </row>
    <row r="3" spans="1:8" x14ac:dyDescent="0.2">
      <c r="A3" t="s">
        <v>951</v>
      </c>
      <c r="B3" s="2">
        <v>11000000</v>
      </c>
      <c r="E3" t="s">
        <v>954</v>
      </c>
      <c r="F3" s="76">
        <v>0.45</v>
      </c>
      <c r="G3" s="76">
        <v>0.4</v>
      </c>
      <c r="H3" s="2">
        <f>B6*F3+B7*G3</f>
        <v>0</v>
      </c>
    </row>
    <row r="4" spans="1:8" x14ac:dyDescent="0.2">
      <c r="A4" t="s">
        <v>19</v>
      </c>
      <c r="B4" s="2">
        <v>1500000</v>
      </c>
      <c r="E4" t="s">
        <v>955</v>
      </c>
      <c r="F4" s="76">
        <v>0.45</v>
      </c>
      <c r="G4" s="76">
        <v>0.4</v>
      </c>
      <c r="H4" s="2">
        <f>B6*F4+B7*G4</f>
        <v>0</v>
      </c>
    </row>
    <row r="5" spans="1:8" x14ac:dyDescent="0.2">
      <c r="A5" t="s">
        <v>950</v>
      </c>
      <c r="B5" s="2">
        <v>10500000</v>
      </c>
      <c r="E5" t="s">
        <v>956</v>
      </c>
      <c r="F5" s="76">
        <v>0.1</v>
      </c>
      <c r="G5" s="76">
        <v>0.2</v>
      </c>
      <c r="H5" s="2">
        <f>B6*F5+B7*G5</f>
        <v>0</v>
      </c>
    </row>
    <row r="6" spans="1:8" x14ac:dyDescent="0.2">
      <c r="A6" t="s">
        <v>952</v>
      </c>
      <c r="B6" s="2">
        <v>0</v>
      </c>
    </row>
    <row r="7" spans="1:8" x14ac:dyDescent="0.2">
      <c r="A7" t="s">
        <v>953</v>
      </c>
      <c r="B7" s="2">
        <v>0</v>
      </c>
    </row>
    <row r="10" spans="1:8" x14ac:dyDescent="0.2">
      <c r="B10" s="3">
        <f>SUM(B3:B9)</f>
        <v>23000000</v>
      </c>
    </row>
    <row r="14" spans="1:8" x14ac:dyDescent="0.2">
      <c r="F14" s="76"/>
      <c r="G14" s="76"/>
      <c r="H14" s="2"/>
    </row>
    <row r="15" spans="1:8" x14ac:dyDescent="0.2">
      <c r="F15" s="76"/>
      <c r="G15" s="76"/>
      <c r="H15" s="2"/>
    </row>
    <row r="16" spans="1:8" x14ac:dyDescent="0.2">
      <c r="F16" s="76"/>
      <c r="G16" s="76"/>
      <c r="H16" s="2"/>
    </row>
    <row r="21" spans="2:2" x14ac:dyDescent="0.2">
      <c r="B21" s="3"/>
    </row>
  </sheetData>
  <phoneticPr fontId="0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14"/>
  <dimension ref="B1:V121"/>
  <sheetViews>
    <sheetView zoomScaleNormal="100" workbookViewId="0">
      <selection activeCell="F10" sqref="F10"/>
    </sheetView>
  </sheetViews>
  <sheetFormatPr defaultRowHeight="11.25" x14ac:dyDescent="0.2"/>
  <cols>
    <col min="1" max="1" width="1.5703125" style="120" customWidth="1"/>
    <col min="2" max="2" width="14.42578125" style="116" bestFit="1" customWidth="1"/>
    <col min="3" max="3" width="39.5703125" style="120" customWidth="1"/>
    <col min="4" max="4" width="13.5703125" style="120" customWidth="1"/>
    <col min="5" max="5" width="1.42578125" style="120" customWidth="1"/>
    <col min="6" max="6" width="14.42578125" style="120" customWidth="1"/>
    <col min="7" max="8" width="16.7109375" style="120" customWidth="1"/>
    <col min="9" max="9" width="1.85546875" style="120" customWidth="1"/>
    <col min="10" max="10" width="20.42578125" style="120" customWidth="1"/>
    <col min="11" max="11" width="10.42578125" style="120" bestFit="1" customWidth="1"/>
    <col min="12" max="12" width="15.5703125" style="120" customWidth="1"/>
    <col min="13" max="13" width="11.28515625" style="120" bestFit="1" customWidth="1"/>
    <col min="14" max="14" width="11" style="120" bestFit="1" customWidth="1"/>
    <col min="15" max="15" width="12.140625" style="120" bestFit="1" customWidth="1"/>
    <col min="16" max="16" width="9.140625" style="857"/>
    <col min="17" max="17" width="9.140625" style="120"/>
    <col min="18" max="18" width="9.85546875" style="120" customWidth="1"/>
    <col min="19" max="16384" width="9.140625" style="120"/>
  </cols>
  <sheetData>
    <row r="1" spans="2:22" x14ac:dyDescent="0.2">
      <c r="E1" s="122"/>
      <c r="F1" s="202" t="s">
        <v>2660</v>
      </c>
      <c r="G1" s="202" t="s">
        <v>2683</v>
      </c>
      <c r="H1" s="122" t="s">
        <v>929</v>
      </c>
      <c r="K1" s="122" t="s">
        <v>1318</v>
      </c>
      <c r="L1" s="122" t="s">
        <v>858</v>
      </c>
      <c r="M1" s="122" t="s">
        <v>873</v>
      </c>
    </row>
    <row r="2" spans="2:22" x14ac:dyDescent="0.2">
      <c r="F2" s="122"/>
      <c r="G2" s="122"/>
      <c r="H2" s="122"/>
      <c r="K2" s="122"/>
      <c r="L2" s="122"/>
      <c r="M2" s="122"/>
      <c r="Q2" s="120">
        <v>25</v>
      </c>
      <c r="R2" s="120" t="s">
        <v>2671</v>
      </c>
      <c r="T2" s="120">
        <v>2</v>
      </c>
      <c r="U2" s="857">
        <v>10</v>
      </c>
      <c r="V2" s="120">
        <v>13</v>
      </c>
    </row>
    <row r="3" spans="2:22" x14ac:dyDescent="0.2">
      <c r="E3" s="208"/>
      <c r="F3" s="122"/>
      <c r="G3" s="122"/>
      <c r="H3" s="122"/>
      <c r="K3" s="122"/>
      <c r="L3" s="122"/>
      <c r="M3" s="122"/>
      <c r="P3" s="857">
        <v>-20</v>
      </c>
      <c r="R3" s="120" t="s">
        <v>2672</v>
      </c>
      <c r="U3" s="857">
        <v>11</v>
      </c>
    </row>
    <row r="4" spans="2:22" x14ac:dyDescent="0.2">
      <c r="F4" s="122"/>
      <c r="G4" s="122"/>
      <c r="H4" s="122"/>
      <c r="K4" s="122"/>
      <c r="L4" s="122"/>
      <c r="M4" s="122"/>
      <c r="P4" s="857">
        <v>-19</v>
      </c>
      <c r="U4" s="857">
        <v>12</v>
      </c>
    </row>
    <row r="5" spans="2:22" ht="12" thickBot="1" x14ac:dyDescent="0.25">
      <c r="F5" s="125">
        <v>4</v>
      </c>
      <c r="G5" s="125">
        <v>22</v>
      </c>
      <c r="H5" s="122"/>
      <c r="J5" s="120" t="s">
        <v>1528</v>
      </c>
      <c r="K5" s="122"/>
      <c r="L5" s="122"/>
      <c r="M5" s="122"/>
      <c r="P5" s="857">
        <v>-18</v>
      </c>
      <c r="U5" s="857">
        <v>13</v>
      </c>
    </row>
    <row r="6" spans="2:22" ht="12" thickBot="1" x14ac:dyDescent="0.25">
      <c r="B6" s="117" t="s">
        <v>888</v>
      </c>
      <c r="C6" s="123" t="s">
        <v>1139</v>
      </c>
      <c r="D6" s="124">
        <v>3000</v>
      </c>
      <c r="F6" s="122"/>
      <c r="G6" s="122"/>
      <c r="H6" s="122"/>
      <c r="K6" s="122"/>
      <c r="L6" s="122"/>
      <c r="M6" s="122"/>
      <c r="P6" s="857">
        <v>-17</v>
      </c>
      <c r="U6" s="857">
        <v>14</v>
      </c>
    </row>
    <row r="7" spans="2:22" x14ac:dyDescent="0.2">
      <c r="C7" s="123" t="s">
        <v>876</v>
      </c>
      <c r="D7" s="124">
        <v>5</v>
      </c>
      <c r="F7" s="125">
        <f>$Q$2-21</f>
        <v>4</v>
      </c>
      <c r="G7" s="125">
        <f t="shared" ref="G7:G13" si="0">$V$2+9</f>
        <v>22</v>
      </c>
      <c r="H7" s="126">
        <f t="shared" ref="H7:H12" si="1">G7-F7</f>
        <v>18</v>
      </c>
      <c r="J7" s="120" t="s">
        <v>1142</v>
      </c>
      <c r="K7" s="288">
        <v>103.62</v>
      </c>
      <c r="L7" s="122">
        <f t="shared" ref="L7:L13" si="2">IF($T$2=1,R7,S7)</f>
        <v>0.14000000000000001</v>
      </c>
      <c r="M7" s="127">
        <f t="shared" ref="M7:M12" si="3">L7*H7*K7</f>
        <v>261.12240000000008</v>
      </c>
      <c r="P7" s="857">
        <v>-16</v>
      </c>
      <c r="Q7" s="122">
        <v>0.4</v>
      </c>
      <c r="R7" s="122">
        <v>0.3</v>
      </c>
      <c r="S7" s="122">
        <v>0.14000000000000001</v>
      </c>
      <c r="U7" s="857">
        <v>15</v>
      </c>
    </row>
    <row r="8" spans="2:22" x14ac:dyDescent="0.2">
      <c r="C8" s="128" t="s">
        <v>874</v>
      </c>
      <c r="D8" s="129">
        <f>30.5*24*D7</f>
        <v>3660</v>
      </c>
      <c r="F8" s="125">
        <f>$Q$2-21</f>
        <v>4</v>
      </c>
      <c r="G8" s="125">
        <f t="shared" si="0"/>
        <v>22</v>
      </c>
      <c r="H8" s="126">
        <f t="shared" si="1"/>
        <v>18</v>
      </c>
      <c r="J8" s="120" t="s">
        <v>616</v>
      </c>
      <c r="K8" s="288">
        <v>52</v>
      </c>
      <c r="L8" s="856">
        <f>IF($T$2=1,R8,S8)</f>
        <v>0.2</v>
      </c>
      <c r="M8" s="127">
        <f t="shared" si="3"/>
        <v>187.20000000000002</v>
      </c>
      <c r="P8" s="857">
        <v>-15</v>
      </c>
      <c r="Q8" s="856">
        <v>0.6</v>
      </c>
      <c r="R8" s="856">
        <v>0.3</v>
      </c>
      <c r="S8" s="856">
        <v>0.2</v>
      </c>
      <c r="U8" s="857">
        <v>16</v>
      </c>
    </row>
    <row r="9" spans="2:22" x14ac:dyDescent="0.2">
      <c r="C9" s="128" t="s">
        <v>889</v>
      </c>
      <c r="D9" s="130">
        <v>100</v>
      </c>
      <c r="F9" s="125">
        <v>8</v>
      </c>
      <c r="G9" s="125">
        <f t="shared" si="0"/>
        <v>22</v>
      </c>
      <c r="H9" s="126">
        <f t="shared" si="1"/>
        <v>14</v>
      </c>
      <c r="J9" s="120" t="s">
        <v>614</v>
      </c>
      <c r="K9" s="288">
        <v>110</v>
      </c>
      <c r="L9" s="122">
        <f>IF($T$2=1,R9,S9)</f>
        <v>0.12</v>
      </c>
      <c r="M9" s="127">
        <f t="shared" si="3"/>
        <v>184.79999999999998</v>
      </c>
      <c r="P9" s="857">
        <v>-14</v>
      </c>
      <c r="Q9" s="122">
        <v>0.3</v>
      </c>
      <c r="R9" s="122">
        <v>0.5</v>
      </c>
      <c r="S9" s="122">
        <v>0.12</v>
      </c>
      <c r="U9" s="857">
        <v>17</v>
      </c>
    </row>
    <row r="10" spans="2:22" ht="12" thickBot="1" x14ac:dyDescent="0.25">
      <c r="C10" s="128" t="s">
        <v>1494</v>
      </c>
      <c r="D10" s="132">
        <v>2.8</v>
      </c>
      <c r="F10" s="125">
        <f>$Q$2-21</f>
        <v>4</v>
      </c>
      <c r="G10" s="125">
        <f t="shared" si="0"/>
        <v>22</v>
      </c>
      <c r="H10" s="126">
        <f t="shared" si="1"/>
        <v>18</v>
      </c>
      <c r="J10" s="120" t="s">
        <v>933</v>
      </c>
      <c r="K10" s="288">
        <v>110</v>
      </c>
      <c r="L10" s="122">
        <f t="shared" si="2"/>
        <v>0.12</v>
      </c>
      <c r="M10" s="127">
        <f t="shared" si="3"/>
        <v>237.60000000000002</v>
      </c>
      <c r="P10" s="857">
        <v>-13</v>
      </c>
      <c r="Q10" s="122">
        <v>0.25</v>
      </c>
      <c r="R10" s="122">
        <v>0.25</v>
      </c>
      <c r="S10" s="122">
        <v>0.12</v>
      </c>
      <c r="U10" s="857">
        <v>18</v>
      </c>
    </row>
    <row r="11" spans="2:22" ht="12" thickBot="1" x14ac:dyDescent="0.25">
      <c r="B11" s="118" t="s">
        <v>887</v>
      </c>
      <c r="C11" s="123" t="s">
        <v>886</v>
      </c>
      <c r="D11" s="131">
        <f>D9*D10</f>
        <v>280</v>
      </c>
      <c r="F11" s="125">
        <f>$Q$2-21</f>
        <v>4</v>
      </c>
      <c r="G11" s="125">
        <f t="shared" si="0"/>
        <v>22</v>
      </c>
      <c r="H11" s="126">
        <f t="shared" si="1"/>
        <v>18</v>
      </c>
      <c r="J11" s="120" t="s">
        <v>939</v>
      </c>
      <c r="K11" s="288">
        <f>Nyílászáró!P31</f>
        <v>23.518799999999999</v>
      </c>
      <c r="L11" s="122">
        <f t="shared" si="2"/>
        <v>1</v>
      </c>
      <c r="M11" s="127">
        <f t="shared" si="3"/>
        <v>423.33839999999998</v>
      </c>
      <c r="P11" s="857">
        <v>-12</v>
      </c>
      <c r="Q11" s="122">
        <v>1.5</v>
      </c>
      <c r="R11" s="122">
        <v>1.2</v>
      </c>
      <c r="S11" s="122">
        <v>1</v>
      </c>
      <c r="U11" s="857">
        <v>19</v>
      </c>
    </row>
    <row r="12" spans="2:22" x14ac:dyDescent="0.2">
      <c r="C12" s="128" t="s">
        <v>885</v>
      </c>
      <c r="D12" s="132">
        <v>0.33</v>
      </c>
      <c r="F12" s="125">
        <f>$Q$2-21</f>
        <v>4</v>
      </c>
      <c r="G12" s="125">
        <f t="shared" si="0"/>
        <v>22</v>
      </c>
      <c r="H12" s="126">
        <f t="shared" si="1"/>
        <v>18</v>
      </c>
      <c r="J12" s="120" t="s">
        <v>938</v>
      </c>
      <c r="K12" s="288">
        <f>Nyílászáró!P32</f>
        <v>4.3992000000000004</v>
      </c>
      <c r="L12" s="122">
        <f t="shared" si="2"/>
        <v>1.3</v>
      </c>
      <c r="M12" s="127">
        <f t="shared" si="3"/>
        <v>102.94128000000002</v>
      </c>
      <c r="P12" s="857">
        <v>-11</v>
      </c>
      <c r="Q12" s="122">
        <v>1.8</v>
      </c>
      <c r="R12" s="122">
        <v>1.5</v>
      </c>
      <c r="S12" s="122">
        <v>1.3</v>
      </c>
      <c r="U12" s="857">
        <v>20</v>
      </c>
    </row>
    <row r="13" spans="2:22" ht="12" thickBot="1" x14ac:dyDescent="0.25">
      <c r="C13" s="133" t="s">
        <v>875</v>
      </c>
      <c r="D13" s="1060">
        <f>IF($T$2=1,2.5,1)</f>
        <v>1</v>
      </c>
      <c r="F13" s="125">
        <f>$Q$2-21</f>
        <v>4</v>
      </c>
      <c r="G13" s="125">
        <f t="shared" si="0"/>
        <v>22</v>
      </c>
      <c r="H13" s="126">
        <f>G13-F13</f>
        <v>18</v>
      </c>
      <c r="J13" s="120" t="s">
        <v>1317</v>
      </c>
      <c r="K13" s="289">
        <v>52</v>
      </c>
      <c r="L13" s="122">
        <f t="shared" si="2"/>
        <v>0.5</v>
      </c>
      <c r="M13" s="127"/>
      <c r="N13" s="120">
        <f>K13*L13*H13</f>
        <v>468</v>
      </c>
      <c r="P13" s="857">
        <v>-10</v>
      </c>
      <c r="Q13" s="122">
        <v>1</v>
      </c>
      <c r="R13" s="122">
        <v>1</v>
      </c>
      <c r="S13" s="122">
        <v>0.5</v>
      </c>
      <c r="U13" s="857">
        <v>21</v>
      </c>
    </row>
    <row r="14" spans="2:22" x14ac:dyDescent="0.2">
      <c r="C14" s="134"/>
      <c r="D14" s="135"/>
      <c r="F14" s="125"/>
      <c r="G14" s="125"/>
      <c r="H14" s="126"/>
      <c r="K14" s="290">
        <f>SUM(K7:K12)-K8</f>
        <v>351.53800000000001</v>
      </c>
      <c r="L14" s="137">
        <f>(K7*L7)+(K10*L10)+(K11*L11)+(K12*L12)+(K13*L13)</f>
        <v>82.944559999999996</v>
      </c>
      <c r="M14" s="138">
        <f>SUM(M7:M12)</f>
        <v>1397.0020800000002</v>
      </c>
      <c r="P14" s="857">
        <v>-9</v>
      </c>
      <c r="U14" s="857">
        <v>22</v>
      </c>
    </row>
    <row r="15" spans="2:22" x14ac:dyDescent="0.2">
      <c r="C15" s="134"/>
      <c r="D15" s="135"/>
      <c r="F15" s="125"/>
      <c r="G15" s="125"/>
      <c r="H15" s="126"/>
      <c r="K15" s="136"/>
      <c r="L15" s="122"/>
      <c r="M15" s="138"/>
      <c r="P15" s="857">
        <v>-8</v>
      </c>
      <c r="U15" s="857">
        <v>23</v>
      </c>
    </row>
    <row r="16" spans="2:22" x14ac:dyDescent="0.2">
      <c r="C16" s="134"/>
      <c r="D16" s="135"/>
      <c r="F16" s="869" t="s">
        <v>2669</v>
      </c>
      <c r="G16" s="125"/>
      <c r="H16" s="870">
        <f>D37*24/1000/4</f>
        <v>10.045212480000002</v>
      </c>
      <c r="K16" s="136"/>
      <c r="L16" s="122"/>
      <c r="M16" s="138"/>
      <c r="P16" s="857">
        <v>-7</v>
      </c>
      <c r="U16" s="857">
        <v>24</v>
      </c>
    </row>
    <row r="17" spans="3:21" ht="12" thickBot="1" x14ac:dyDescent="0.25">
      <c r="C17" s="120" t="s">
        <v>1312</v>
      </c>
      <c r="D17" s="139">
        <f>(L14-(N28/72))/D11</f>
        <v>0.25817972321428573</v>
      </c>
      <c r="F17" s="869" t="s">
        <v>2670</v>
      </c>
      <c r="G17" s="125"/>
      <c r="H17" s="870">
        <f>D69/180</f>
        <v>0</v>
      </c>
      <c r="J17" s="116" t="s">
        <v>1004</v>
      </c>
      <c r="K17" s="141">
        <f>K14/D11</f>
        <v>1.2554928571428572</v>
      </c>
      <c r="L17" s="122"/>
      <c r="M17" s="142">
        <f>M14/K14</f>
        <v>3.9739717470088585</v>
      </c>
      <c r="P17" s="857">
        <v>-6</v>
      </c>
      <c r="U17" s="857">
        <v>25</v>
      </c>
    </row>
    <row r="18" spans="3:21" ht="12" thickBot="1" x14ac:dyDescent="0.25">
      <c r="C18" s="134" t="s">
        <v>1313</v>
      </c>
      <c r="D18" s="140">
        <f>72*D11*(D17+0.35*D13*(1-0.8))*0.9-4.4*D9*5</f>
        <v>3754.4928979999991</v>
      </c>
      <c r="F18" s="125"/>
      <c r="G18" s="125"/>
      <c r="H18" s="882">
        <f>SUM(H16:H17)</f>
        <v>10.045212480000002</v>
      </c>
      <c r="K18" s="143"/>
      <c r="L18" s="122"/>
      <c r="M18" s="144"/>
      <c r="P18" s="857">
        <v>-5</v>
      </c>
    </row>
    <row r="19" spans="3:21" ht="12" thickBot="1" x14ac:dyDescent="0.25">
      <c r="C19" s="134" t="s">
        <v>1315</v>
      </c>
      <c r="D19" s="135">
        <f>(   (O28+D9*5)   /   (L14+0.35*D13*D11)    )+2</f>
        <v>5.6550452000325402</v>
      </c>
      <c r="F19" s="125"/>
      <c r="G19" s="125"/>
      <c r="H19" s="126"/>
      <c r="K19" s="143"/>
      <c r="L19" s="122"/>
      <c r="M19" s="145"/>
      <c r="P19" s="857">
        <v>-4</v>
      </c>
    </row>
    <row r="20" spans="3:21" ht="12" thickBot="1" x14ac:dyDescent="0.25">
      <c r="C20" s="134" t="s">
        <v>1316</v>
      </c>
      <c r="D20" s="140">
        <f>68.4*D11*(D17+0.35*D13*(1-0.85))*0.9-4.022*D9*5</f>
        <v>3344.1242530999998</v>
      </c>
      <c r="F20" s="125"/>
      <c r="J20" s="146" t="s">
        <v>882</v>
      </c>
      <c r="K20" s="147">
        <v>0.45</v>
      </c>
      <c r="L20" s="148"/>
      <c r="M20" s="148"/>
      <c r="N20" s="286"/>
      <c r="O20" s="184"/>
      <c r="P20" s="857">
        <v>-3</v>
      </c>
    </row>
    <row r="21" spans="3:21" x14ac:dyDescent="0.2">
      <c r="C21" s="134"/>
      <c r="D21" s="135"/>
      <c r="F21" s="125"/>
      <c r="J21" s="134" t="s">
        <v>1491</v>
      </c>
      <c r="K21" s="149">
        <v>0.75</v>
      </c>
      <c r="L21" s="150"/>
      <c r="M21" s="150"/>
      <c r="N21" s="285"/>
      <c r="O21" s="287"/>
      <c r="P21" s="857">
        <v>-2</v>
      </c>
    </row>
    <row r="22" spans="3:21" x14ac:dyDescent="0.2">
      <c r="C22" s="134"/>
      <c r="D22" s="135"/>
      <c r="F22" s="125"/>
      <c r="J22" s="134" t="s">
        <v>883</v>
      </c>
      <c r="K22" s="149">
        <v>0.35</v>
      </c>
      <c r="L22" s="150"/>
      <c r="M22" s="150"/>
      <c r="N22" s="285"/>
      <c r="O22" s="287"/>
      <c r="P22" s="857">
        <v>-1</v>
      </c>
    </row>
    <row r="23" spans="3:21" x14ac:dyDescent="0.2">
      <c r="C23" s="134"/>
      <c r="D23" s="135"/>
      <c r="F23" s="125"/>
      <c r="J23" s="134"/>
      <c r="K23" s="150" t="s">
        <v>872</v>
      </c>
      <c r="L23" s="150" t="s">
        <v>884</v>
      </c>
      <c r="M23" s="284" t="s">
        <v>1493</v>
      </c>
      <c r="N23" s="284" t="s">
        <v>1492</v>
      </c>
      <c r="O23" s="151" t="s">
        <v>1493</v>
      </c>
      <c r="P23" s="857">
        <v>0</v>
      </c>
    </row>
    <row r="24" spans="3:21" ht="12" thickBot="1" x14ac:dyDescent="0.25">
      <c r="C24" s="134"/>
      <c r="D24" s="135"/>
      <c r="J24" s="134" t="s">
        <v>878</v>
      </c>
      <c r="K24" s="153">
        <f>Nyílászáró!Q12</f>
        <v>11.8324</v>
      </c>
      <c r="L24" s="150">
        <v>400</v>
      </c>
      <c r="M24" s="150">
        <v>96</v>
      </c>
      <c r="N24" s="1062">
        <f>L24*K24*$K$20*$K$21*$K$22</f>
        <v>559.08089999999993</v>
      </c>
      <c r="O24" s="1063">
        <f>M24*K24*$K$20*$K$21*$K$22</f>
        <v>134.17941599999997</v>
      </c>
      <c r="P24" s="857">
        <v>1</v>
      </c>
    </row>
    <row r="25" spans="3:21" ht="12" thickBot="1" x14ac:dyDescent="0.25">
      <c r="C25" s="957" t="s">
        <v>3091</v>
      </c>
      <c r="D25" s="152">
        <v>180</v>
      </c>
      <c r="H25" s="125"/>
      <c r="J25" s="134" t="s">
        <v>879</v>
      </c>
      <c r="K25" s="153">
        <f>Nyílászáró!Q22</f>
        <v>3.9312</v>
      </c>
      <c r="L25" s="150">
        <v>200</v>
      </c>
      <c r="M25" s="150">
        <v>27</v>
      </c>
      <c r="N25" s="1062">
        <f>L25*K25*$K$20*$K$21*$K$22</f>
        <v>92.874599999999987</v>
      </c>
      <c r="O25" s="1063">
        <f>M25*K25*$K$20*$K$21*$K$22</f>
        <v>12.538070999999999</v>
      </c>
      <c r="P25" s="857">
        <v>2</v>
      </c>
    </row>
    <row r="26" spans="3:21" x14ac:dyDescent="0.2">
      <c r="C26" s="154" t="s">
        <v>3334</v>
      </c>
      <c r="D26" s="155">
        <f>H7</f>
        <v>18</v>
      </c>
      <c r="J26" s="134" t="s">
        <v>880</v>
      </c>
      <c r="K26" s="153">
        <f>Nyílászáró!Q29</f>
        <v>0.66</v>
      </c>
      <c r="L26" s="150">
        <v>100</v>
      </c>
      <c r="M26" s="150">
        <v>27</v>
      </c>
      <c r="N26" s="1062">
        <f>L26*K26*$K$20*$K$21</f>
        <v>22.274999999999999</v>
      </c>
      <c r="O26" s="1063">
        <f>M26*K26*$K$20*$K$21*$K$22</f>
        <v>2.1049875</v>
      </c>
      <c r="P26" s="857">
        <v>3</v>
      </c>
    </row>
    <row r="27" spans="3:21" x14ac:dyDescent="0.2">
      <c r="C27" s="154" t="s">
        <v>2654</v>
      </c>
      <c r="D27" s="155">
        <v>3</v>
      </c>
      <c r="J27" s="134" t="s">
        <v>881</v>
      </c>
      <c r="K27" s="153">
        <f>Nyílászáró!Q17</f>
        <v>3.9312</v>
      </c>
      <c r="L27" s="150">
        <v>200</v>
      </c>
      <c r="M27" s="150">
        <v>27</v>
      </c>
      <c r="N27" s="1062">
        <f>L27*K27*$K$20*$K$21*$K$22</f>
        <v>92.874599999999987</v>
      </c>
      <c r="O27" s="1063">
        <f>M27*K27*$K$20*$K$21*$K$22</f>
        <v>12.538070999999999</v>
      </c>
      <c r="P27" s="857">
        <v>4</v>
      </c>
    </row>
    <row r="28" spans="3:21" ht="12" thickBot="1" x14ac:dyDescent="0.25">
      <c r="C28" s="156" t="s">
        <v>926</v>
      </c>
      <c r="D28" s="157">
        <v>310</v>
      </c>
      <c r="J28" s="158"/>
      <c r="K28" s="159">
        <f>SUM(K24:K27)</f>
        <v>20.354800000000001</v>
      </c>
      <c r="L28" s="160"/>
      <c r="M28" s="160"/>
      <c r="N28" s="1061">
        <f>SUM(N24:N27)</f>
        <v>767.10509999999988</v>
      </c>
      <c r="O28" s="1064">
        <f>SUM(O24:O27)</f>
        <v>161.36054549999997</v>
      </c>
      <c r="P28" s="857">
        <v>5</v>
      </c>
    </row>
    <row r="29" spans="3:21" x14ac:dyDescent="0.2">
      <c r="C29" s="156" t="s">
        <v>920</v>
      </c>
      <c r="D29" s="157">
        <v>135</v>
      </c>
      <c r="G29" s="871" t="s">
        <v>883</v>
      </c>
      <c r="H29" s="872">
        <v>0.9</v>
      </c>
      <c r="P29" s="857">
        <v>6</v>
      </c>
    </row>
    <row r="30" spans="3:21" x14ac:dyDescent="0.2">
      <c r="C30" s="156" t="s">
        <v>922</v>
      </c>
      <c r="D30" s="161">
        <v>30</v>
      </c>
      <c r="G30" s="120" t="s">
        <v>2673</v>
      </c>
      <c r="H30" s="857">
        <f>F7</f>
        <v>4</v>
      </c>
      <c r="P30" s="857">
        <v>7</v>
      </c>
    </row>
    <row r="31" spans="3:21" ht="12" thickBot="1" x14ac:dyDescent="0.25">
      <c r="C31" s="156" t="s">
        <v>2723</v>
      </c>
      <c r="D31" s="161">
        <v>70</v>
      </c>
      <c r="G31" s="120" t="s">
        <v>2674</v>
      </c>
      <c r="H31" s="857">
        <f>G7</f>
        <v>22</v>
      </c>
      <c r="L31" s="162"/>
      <c r="M31" s="162"/>
      <c r="P31" s="857">
        <v>8</v>
      </c>
    </row>
    <row r="32" spans="3:21" x14ac:dyDescent="0.2">
      <c r="C32" s="156" t="s">
        <v>925</v>
      </c>
      <c r="D32" s="163">
        <v>40</v>
      </c>
      <c r="G32" s="120" t="s">
        <v>2675</v>
      </c>
      <c r="H32" s="971">
        <f>(H31-H30)*H29+H30</f>
        <v>20.2</v>
      </c>
      <c r="M32" s="164" t="s">
        <v>1137</v>
      </c>
      <c r="P32" s="857">
        <v>9</v>
      </c>
    </row>
    <row r="33" spans="2:16" ht="12" thickBot="1" x14ac:dyDescent="0.25">
      <c r="C33" s="165" t="s">
        <v>921</v>
      </c>
      <c r="D33" s="166">
        <v>25</v>
      </c>
      <c r="G33" s="120" t="s">
        <v>2694</v>
      </c>
      <c r="H33" s="971">
        <f>H31-(H32-H30)</f>
        <v>5.8000000000000007</v>
      </c>
      <c r="L33" s="120" t="s">
        <v>3142</v>
      </c>
      <c r="M33" s="167">
        <v>300</v>
      </c>
      <c r="P33" s="857">
        <v>10</v>
      </c>
    </row>
    <row r="34" spans="2:16" x14ac:dyDescent="0.2">
      <c r="C34" s="417" t="s">
        <v>52</v>
      </c>
      <c r="D34" s="145">
        <f>D62</f>
        <v>1490.416666666667</v>
      </c>
      <c r="L34" s="120" t="s">
        <v>3143</v>
      </c>
      <c r="M34" s="167">
        <v>60</v>
      </c>
      <c r="P34" s="857">
        <v>11</v>
      </c>
    </row>
    <row r="35" spans="2:16" x14ac:dyDescent="0.2">
      <c r="C35" s="120" t="s">
        <v>916</v>
      </c>
      <c r="D35" s="168">
        <f>D11*D12*D13*(D27*D25/180)</f>
        <v>277.20000000000005</v>
      </c>
      <c r="M35" s="167"/>
      <c r="P35" s="857">
        <v>12</v>
      </c>
    </row>
    <row r="36" spans="2:16" ht="12" thickBot="1" x14ac:dyDescent="0.25">
      <c r="C36" s="120" t="s">
        <v>917</v>
      </c>
      <c r="D36" s="168">
        <f>M14</f>
        <v>1397.0020800000002</v>
      </c>
      <c r="M36" s="169"/>
      <c r="P36" s="857">
        <v>13</v>
      </c>
    </row>
    <row r="37" spans="2:16" s="162" customFormat="1" ht="12" thickBot="1" x14ac:dyDescent="0.25">
      <c r="B37" s="116"/>
      <c r="C37" s="120" t="s">
        <v>918</v>
      </c>
      <c r="D37" s="170">
        <f>D35+D36</f>
        <v>1674.2020800000003</v>
      </c>
      <c r="F37" s="120"/>
      <c r="G37" s="120"/>
      <c r="H37" s="120"/>
      <c r="J37" s="120"/>
      <c r="K37" s="120"/>
      <c r="L37" s="120"/>
      <c r="M37" s="171">
        <f>SUM(M33:M36)</f>
        <v>360</v>
      </c>
      <c r="P37" s="857">
        <v>14</v>
      </c>
    </row>
    <row r="38" spans="2:16" ht="23.25" thickBot="1" x14ac:dyDescent="0.25">
      <c r="B38" s="119"/>
      <c r="C38" s="162"/>
      <c r="D38" s="162"/>
      <c r="F38" s="162"/>
      <c r="G38" s="162" t="s">
        <v>1314</v>
      </c>
      <c r="H38" s="162" t="s">
        <v>1319</v>
      </c>
      <c r="M38" s="172">
        <f>M37/1000*180*12</f>
        <v>777.59999999999991</v>
      </c>
      <c r="P38" s="857">
        <v>15</v>
      </c>
    </row>
    <row r="39" spans="2:16" x14ac:dyDescent="0.2">
      <c r="B39" s="946" t="s">
        <v>3089</v>
      </c>
      <c r="C39" s="947" t="s">
        <v>877</v>
      </c>
      <c r="D39" s="948">
        <f>-N28</f>
        <v>-767.10509999999988</v>
      </c>
      <c r="F39" s="145"/>
      <c r="P39" s="857">
        <v>16</v>
      </c>
    </row>
    <row r="40" spans="2:16" ht="12" thickBot="1" x14ac:dyDescent="0.25">
      <c r="B40" s="949"/>
      <c r="C40" s="950" t="s">
        <v>3144</v>
      </c>
      <c r="D40" s="951">
        <f>-M38</f>
        <v>-777.59999999999991</v>
      </c>
      <c r="F40" s="145"/>
      <c r="G40" s="173"/>
      <c r="H40" s="173"/>
      <c r="P40" s="857">
        <v>17</v>
      </c>
    </row>
    <row r="41" spans="2:16" ht="12" thickBot="1" x14ac:dyDescent="0.25">
      <c r="B41" s="952" t="s">
        <v>3090</v>
      </c>
      <c r="C41" s="953" t="s">
        <v>919</v>
      </c>
      <c r="D41" s="954">
        <f>D35*$D$8/1000</f>
        <v>1014.5520000000001</v>
      </c>
      <c r="E41" s="173"/>
      <c r="F41" s="145"/>
      <c r="G41" s="173"/>
      <c r="H41" s="173"/>
      <c r="P41" s="857">
        <v>18</v>
      </c>
    </row>
    <row r="42" spans="2:16" ht="12" thickBot="1" x14ac:dyDescent="0.25">
      <c r="B42" s="955"/>
      <c r="C42" s="956" t="s">
        <v>1138</v>
      </c>
      <c r="D42" s="972">
        <f>D36*$D$8/1000</f>
        <v>5113.0276128000014</v>
      </c>
      <c r="E42" s="173"/>
      <c r="F42" s="145"/>
      <c r="G42" s="174"/>
      <c r="H42" s="174"/>
      <c r="P42" s="857">
        <v>19</v>
      </c>
    </row>
    <row r="43" spans="2:16" ht="12" thickBot="1" x14ac:dyDescent="0.25">
      <c r="C43" s="133" t="s">
        <v>869</v>
      </c>
      <c r="D43" s="945">
        <f>SUM(D39:D42)</f>
        <v>4582.8745128000019</v>
      </c>
      <c r="E43" s="173"/>
      <c r="F43" s="176"/>
      <c r="G43" s="176">
        <f>D18</f>
        <v>3754.4928979999991</v>
      </c>
      <c r="H43" s="176">
        <f>D20</f>
        <v>3344.1242530999998</v>
      </c>
      <c r="P43" s="857">
        <v>20</v>
      </c>
    </row>
    <row r="44" spans="2:16" ht="12" thickBot="1" x14ac:dyDescent="0.25">
      <c r="D44" s="145"/>
      <c r="E44" s="174"/>
      <c r="G44" s="174"/>
      <c r="H44" s="177"/>
    </row>
    <row r="45" spans="2:16" ht="12" thickBot="1" x14ac:dyDescent="0.25">
      <c r="C45" s="175" t="s">
        <v>871</v>
      </c>
      <c r="D45" s="178">
        <f>D43/D9</f>
        <v>45.828745128000016</v>
      </c>
      <c r="E45" s="174"/>
      <c r="F45" s="178"/>
      <c r="G45" s="178">
        <f>G43/D9</f>
        <v>37.544928979999987</v>
      </c>
      <c r="H45" s="178">
        <f>H43/D9</f>
        <v>33.441242531</v>
      </c>
    </row>
    <row r="46" spans="2:16" ht="12" thickBot="1" x14ac:dyDescent="0.25">
      <c r="C46" s="133" t="s">
        <v>945</v>
      </c>
      <c r="D46" s="179">
        <f>D111/D9</f>
        <v>7.4520833333333352</v>
      </c>
      <c r="E46" s="174"/>
      <c r="F46" s="173"/>
      <c r="G46" s="180"/>
      <c r="H46" s="180"/>
    </row>
    <row r="47" spans="2:16" ht="12" thickBot="1" x14ac:dyDescent="0.25">
      <c r="C47" s="133" t="s">
        <v>944</v>
      </c>
      <c r="D47" s="179">
        <f>D118/D9</f>
        <v>10</v>
      </c>
      <c r="E47" s="174"/>
      <c r="F47" s="173"/>
      <c r="G47" s="180"/>
      <c r="H47" s="180"/>
    </row>
    <row r="48" spans="2:16" ht="12" thickBot="1" x14ac:dyDescent="0.25">
      <c r="C48" s="133" t="s">
        <v>1082</v>
      </c>
      <c r="D48" s="179">
        <f>D75/D9*12*3</f>
        <v>82.8</v>
      </c>
      <c r="E48" s="174"/>
      <c r="F48" s="173"/>
      <c r="G48" s="180"/>
      <c r="H48" s="181"/>
    </row>
    <row r="49" spans="2:8" ht="12" thickBot="1" x14ac:dyDescent="0.25">
      <c r="C49" s="133" t="s">
        <v>947</v>
      </c>
      <c r="D49" s="182">
        <f>D45+D46+D48</f>
        <v>136.08082846133334</v>
      </c>
      <c r="E49" s="174"/>
      <c r="F49" s="174"/>
      <c r="G49" s="180"/>
      <c r="H49" s="181"/>
    </row>
    <row r="50" spans="2:8" ht="12" thickBot="1" x14ac:dyDescent="0.25">
      <c r="C50" s="133" t="s">
        <v>946</v>
      </c>
      <c r="D50" s="182">
        <f>D45+D47+D48</f>
        <v>138.62874512800002</v>
      </c>
      <c r="E50" s="177"/>
      <c r="F50" s="174"/>
      <c r="G50" s="180"/>
      <c r="H50" s="181"/>
    </row>
    <row r="51" spans="2:8" ht="12" thickBot="1" x14ac:dyDescent="0.25">
      <c r="B51" s="120"/>
      <c r="D51" s="183"/>
      <c r="E51" s="180"/>
      <c r="F51" s="174"/>
      <c r="G51" s="181"/>
    </row>
    <row r="52" spans="2:8" ht="12" thickBot="1" x14ac:dyDescent="0.25">
      <c r="B52" s="424" t="s">
        <v>3215</v>
      </c>
      <c r="C52" s="418" t="s">
        <v>894</v>
      </c>
      <c r="D52" s="419">
        <v>0.85</v>
      </c>
    </row>
    <row r="53" spans="2:8" x14ac:dyDescent="0.2">
      <c r="C53" s="420" t="s">
        <v>869</v>
      </c>
      <c r="D53" s="421">
        <f>$D$43/D52</f>
        <v>5391.6170738823557</v>
      </c>
    </row>
    <row r="54" spans="2:8" x14ac:dyDescent="0.2">
      <c r="C54" s="420" t="s">
        <v>891</v>
      </c>
      <c r="D54" s="422">
        <v>4.5</v>
      </c>
    </row>
    <row r="55" spans="2:8" ht="12" thickBot="1" x14ac:dyDescent="0.25">
      <c r="C55" s="420" t="s">
        <v>892</v>
      </c>
      <c r="D55" s="423">
        <f>D53/D54</f>
        <v>1198.1371275294123</v>
      </c>
    </row>
    <row r="56" spans="2:8" ht="12" thickBot="1" x14ac:dyDescent="0.25">
      <c r="C56" s="191" t="s">
        <v>893</v>
      </c>
      <c r="D56" s="192">
        <f>D55*D31</f>
        <v>83869.598927058862</v>
      </c>
    </row>
    <row r="57" spans="2:8" ht="12" thickBot="1" x14ac:dyDescent="0.25">
      <c r="B57" s="120"/>
      <c r="F57" s="925" t="s">
        <v>2964</v>
      </c>
      <c r="G57" s="926"/>
      <c r="H57" s="120" t="s">
        <v>3333</v>
      </c>
    </row>
    <row r="58" spans="2:8" ht="12" thickBot="1" x14ac:dyDescent="0.25">
      <c r="B58" s="424" t="s">
        <v>1326</v>
      </c>
      <c r="C58" s="418" t="s">
        <v>897</v>
      </c>
      <c r="D58" s="419">
        <v>1</v>
      </c>
      <c r="F58" s="858" t="s">
        <v>2661</v>
      </c>
      <c r="G58" s="859">
        <f>4.2/3.6</f>
        <v>1.1666666666666667</v>
      </c>
      <c r="H58" s="120">
        <v>0.33</v>
      </c>
    </row>
    <row r="59" spans="2:8" x14ac:dyDescent="0.2">
      <c r="C59" s="420" t="s">
        <v>896</v>
      </c>
      <c r="D59" s="425">
        <v>100</v>
      </c>
      <c r="F59" s="860" t="s">
        <v>677</v>
      </c>
      <c r="G59" s="861">
        <v>200</v>
      </c>
      <c r="H59" s="120">
        <v>120</v>
      </c>
    </row>
    <row r="60" spans="2:8" ht="12" thickBot="1" x14ac:dyDescent="0.25">
      <c r="C60" s="420" t="s">
        <v>3577</v>
      </c>
      <c r="D60" s="924">
        <f>G58*D59*35/1000</f>
        <v>4.0833333333333339</v>
      </c>
      <c r="F60" s="860" t="s">
        <v>2662</v>
      </c>
      <c r="G60" s="862">
        <v>6</v>
      </c>
      <c r="H60" s="120">
        <v>15</v>
      </c>
    </row>
    <row r="61" spans="2:8" ht="12" thickBot="1" x14ac:dyDescent="0.25">
      <c r="C61" s="420" t="s">
        <v>2698</v>
      </c>
      <c r="D61" s="426">
        <v>365</v>
      </c>
      <c r="F61" s="863" t="s">
        <v>2663</v>
      </c>
      <c r="G61" s="864">
        <f>G58*G59*G60/1000</f>
        <v>1.4</v>
      </c>
      <c r="H61" s="974">
        <f>H58*H59*H60</f>
        <v>594</v>
      </c>
    </row>
    <row r="62" spans="2:8" ht="12" thickBot="1" x14ac:dyDescent="0.25">
      <c r="C62" s="420" t="s">
        <v>892</v>
      </c>
      <c r="D62" s="427">
        <f>D60*D61</f>
        <v>1490.416666666667</v>
      </c>
      <c r="F62" s="120" t="s">
        <v>3597</v>
      </c>
      <c r="G62" s="1031">
        <v>6</v>
      </c>
    </row>
    <row r="63" spans="2:8" ht="12" thickBot="1" x14ac:dyDescent="0.25">
      <c r="C63" s="191" t="s">
        <v>907</v>
      </c>
      <c r="D63" s="192">
        <f>D62*D33</f>
        <v>37260.416666666672</v>
      </c>
      <c r="F63" s="120" t="s">
        <v>3598</v>
      </c>
      <c r="G63" s="1032">
        <f>G61/G62</f>
        <v>0.23333333333333331</v>
      </c>
    </row>
    <row r="64" spans="2:8" ht="12" thickBot="1" x14ac:dyDescent="0.25"/>
    <row r="65" spans="2:15" ht="12" thickBot="1" x14ac:dyDescent="0.25">
      <c r="B65" s="424" t="s">
        <v>1329</v>
      </c>
      <c r="C65" s="418" t="s">
        <v>894</v>
      </c>
      <c r="D65" s="419">
        <v>0.8</v>
      </c>
    </row>
    <row r="66" spans="2:15" x14ac:dyDescent="0.2">
      <c r="C66" s="420" t="s">
        <v>2698</v>
      </c>
      <c r="D66" s="426">
        <f>365-D61</f>
        <v>0</v>
      </c>
    </row>
    <row r="67" spans="2:15" x14ac:dyDescent="0.2">
      <c r="C67" s="420" t="s">
        <v>869</v>
      </c>
      <c r="D67" s="421">
        <f>$D$34/D65/365*D66</f>
        <v>0</v>
      </c>
    </row>
    <row r="68" spans="2:15" x14ac:dyDescent="0.2">
      <c r="C68" s="420" t="s">
        <v>891</v>
      </c>
      <c r="D68" s="422">
        <v>4.5</v>
      </c>
    </row>
    <row r="69" spans="2:15" ht="12" thickBot="1" x14ac:dyDescent="0.25">
      <c r="C69" s="420" t="s">
        <v>892</v>
      </c>
      <c r="D69" s="931">
        <f>D67/D68</f>
        <v>0</v>
      </c>
    </row>
    <row r="70" spans="2:15" ht="12" thickBot="1" x14ac:dyDescent="0.25">
      <c r="C70" s="191" t="s">
        <v>907</v>
      </c>
      <c r="D70" s="192">
        <f>D69*D31</f>
        <v>0</v>
      </c>
    </row>
    <row r="71" spans="2:15" ht="12" thickBot="1" x14ac:dyDescent="0.25">
      <c r="C71" s="883"/>
      <c r="D71" s="884"/>
    </row>
    <row r="72" spans="2:15" ht="12" thickBot="1" x14ac:dyDescent="0.25">
      <c r="B72" s="886" t="s">
        <v>927</v>
      </c>
      <c r="C72" s="887" t="s">
        <v>892</v>
      </c>
      <c r="D72" s="927">
        <v>7</v>
      </c>
    </row>
    <row r="73" spans="2:15" ht="12" thickBot="1" x14ac:dyDescent="0.25">
      <c r="C73" s="191" t="s">
        <v>928</v>
      </c>
      <c r="D73" s="192">
        <f>D72*D28*12+12*250</f>
        <v>29040</v>
      </c>
    </row>
    <row r="74" spans="2:15" ht="12" thickBot="1" x14ac:dyDescent="0.25"/>
    <row r="75" spans="2:15" ht="13.5" thickBot="1" x14ac:dyDescent="0.25">
      <c r="B75" s="886" t="s">
        <v>794</v>
      </c>
      <c r="C75" s="887" t="s">
        <v>892</v>
      </c>
      <c r="D75" s="888">
        <v>230</v>
      </c>
      <c r="J75" s="66"/>
      <c r="K75" s="66"/>
      <c r="L75"/>
      <c r="M75"/>
      <c r="N75"/>
      <c r="O75"/>
    </row>
    <row r="76" spans="2:15" ht="13.5" thickBot="1" x14ac:dyDescent="0.25">
      <c r="C76" s="191" t="s">
        <v>940</v>
      </c>
      <c r="D76" s="192">
        <f>D75*D32*12</f>
        <v>110400</v>
      </c>
      <c r="J76"/>
      <c r="K76"/>
      <c r="L76"/>
      <c r="M76"/>
      <c r="N76" s="12"/>
      <c r="O76"/>
    </row>
    <row r="77" spans="2:15" ht="13.5" thickBot="1" x14ac:dyDescent="0.25">
      <c r="J77"/>
      <c r="K77"/>
      <c r="L77"/>
      <c r="M77"/>
      <c r="N77"/>
      <c r="O77"/>
    </row>
    <row r="78" spans="2:15" ht="13.5" thickBot="1" x14ac:dyDescent="0.25">
      <c r="B78" s="886" t="s">
        <v>1043</v>
      </c>
      <c r="C78" s="887" t="s">
        <v>892</v>
      </c>
      <c r="D78" s="889">
        <v>450</v>
      </c>
      <c r="J78"/>
      <c r="K78"/>
      <c r="L78"/>
      <c r="M78"/>
      <c r="N78"/>
      <c r="O78"/>
    </row>
    <row r="79" spans="2:15" ht="12" thickBot="1" x14ac:dyDescent="0.25">
      <c r="C79" s="191" t="s">
        <v>1044</v>
      </c>
      <c r="D79" s="192">
        <f>D78*12</f>
        <v>5400</v>
      </c>
    </row>
    <row r="80" spans="2:15" ht="12" thickBot="1" x14ac:dyDescent="0.25"/>
    <row r="81" spans="2:8" ht="21" customHeight="1" thickBot="1" x14ac:dyDescent="0.25">
      <c r="B81" s="886" t="s">
        <v>1766</v>
      </c>
      <c r="C81" s="887" t="s">
        <v>892</v>
      </c>
      <c r="D81" s="889">
        <v>2550</v>
      </c>
      <c r="F81" s="928" t="s">
        <v>2965</v>
      </c>
      <c r="G81" s="929">
        <f>D56+D63+D70+D73+D76+D79+D82+D85+D88+D91</f>
        <v>1374170.0155937255</v>
      </c>
      <c r="H81" s="930">
        <f>G81/12</f>
        <v>114514.1679661438</v>
      </c>
    </row>
    <row r="82" spans="2:8" ht="12" thickBot="1" x14ac:dyDescent="0.25">
      <c r="C82" s="191" t="s">
        <v>1044</v>
      </c>
      <c r="D82" s="192">
        <f>D81*12</f>
        <v>30600</v>
      </c>
    </row>
    <row r="83" spans="2:8" ht="12" thickBot="1" x14ac:dyDescent="0.25">
      <c r="B83" s="120"/>
      <c r="D83" s="183"/>
      <c r="E83" s="180"/>
      <c r="F83" s="174"/>
      <c r="G83" s="181"/>
    </row>
    <row r="84" spans="2:8" ht="12" thickBot="1" x14ac:dyDescent="0.25">
      <c r="B84" s="886" t="s">
        <v>3000</v>
      </c>
      <c r="C84" s="887" t="s">
        <v>892</v>
      </c>
      <c r="D84" s="889">
        <v>4800</v>
      </c>
      <c r="E84" s="180"/>
      <c r="F84" s="174"/>
      <c r="G84" s="181"/>
    </row>
    <row r="85" spans="2:8" ht="12" thickBot="1" x14ac:dyDescent="0.25">
      <c r="C85" s="191" t="s">
        <v>1044</v>
      </c>
      <c r="D85" s="192">
        <f>D84*12</f>
        <v>57600</v>
      </c>
      <c r="E85" s="180"/>
      <c r="F85" s="174"/>
      <c r="G85" s="181"/>
    </row>
    <row r="86" spans="2:8" ht="12" thickBot="1" x14ac:dyDescent="0.25">
      <c r="B86" s="120"/>
      <c r="D86" s="183"/>
      <c r="E86" s="180"/>
      <c r="F86" s="174"/>
      <c r="G86" s="181"/>
    </row>
    <row r="87" spans="2:8" ht="12" thickBot="1" x14ac:dyDescent="0.25">
      <c r="B87" s="886" t="s">
        <v>3002</v>
      </c>
      <c r="C87" s="887" t="s">
        <v>892</v>
      </c>
      <c r="D87" s="889">
        <v>15000</v>
      </c>
      <c r="E87" s="180"/>
      <c r="F87" s="174"/>
      <c r="G87" s="181"/>
    </row>
    <row r="88" spans="2:8" ht="12" thickBot="1" x14ac:dyDescent="0.25">
      <c r="C88" s="191" t="s">
        <v>1044</v>
      </c>
      <c r="D88" s="192">
        <f>D87*12</f>
        <v>180000</v>
      </c>
      <c r="E88" s="180"/>
      <c r="F88" s="174"/>
      <c r="G88" s="181"/>
    </row>
    <row r="89" spans="2:8" ht="12" thickBot="1" x14ac:dyDescent="0.25">
      <c r="B89" s="120"/>
      <c r="D89" s="183"/>
      <c r="E89" s="180"/>
      <c r="F89" s="174"/>
      <c r="G89" s="181"/>
    </row>
    <row r="90" spans="2:8" ht="12" thickBot="1" x14ac:dyDescent="0.25">
      <c r="B90" s="886" t="s">
        <v>3001</v>
      </c>
      <c r="C90" s="887" t="s">
        <v>892</v>
      </c>
      <c r="D90" s="889">
        <v>70000</v>
      </c>
      <c r="E90" s="180"/>
      <c r="F90" s="174"/>
      <c r="G90" s="181"/>
    </row>
    <row r="91" spans="2:8" ht="12" thickBot="1" x14ac:dyDescent="0.25">
      <c r="C91" s="191" t="s">
        <v>1044</v>
      </c>
      <c r="D91" s="192">
        <f>D90*12</f>
        <v>840000</v>
      </c>
      <c r="E91" s="180"/>
      <c r="F91" s="174"/>
      <c r="G91" s="181"/>
    </row>
    <row r="92" spans="2:8" x14ac:dyDescent="0.2">
      <c r="B92" s="120"/>
      <c r="D92" s="183"/>
      <c r="E92" s="180"/>
      <c r="F92" s="174"/>
      <c r="G92" s="181"/>
    </row>
    <row r="93" spans="2:8" ht="12" thickBot="1" x14ac:dyDescent="0.25">
      <c r="B93" s="120"/>
      <c r="D93" s="183"/>
      <c r="E93" s="180"/>
      <c r="F93" s="174"/>
      <c r="G93" s="181"/>
    </row>
    <row r="94" spans="2:8" ht="12" thickBot="1" x14ac:dyDescent="0.25">
      <c r="B94" s="121" t="s">
        <v>890</v>
      </c>
      <c r="C94" s="146" t="s">
        <v>894</v>
      </c>
      <c r="D94" s="184">
        <v>0.9</v>
      </c>
      <c r="E94" s="180"/>
      <c r="F94" s="177"/>
      <c r="G94" s="181"/>
      <c r="H94" s="185"/>
    </row>
    <row r="95" spans="2:8" x14ac:dyDescent="0.2">
      <c r="C95" s="134" t="s">
        <v>869</v>
      </c>
      <c r="D95" s="186">
        <f>$D$43/D94</f>
        <v>5092.082792000002</v>
      </c>
      <c r="E95" s="181"/>
      <c r="F95" s="177"/>
      <c r="H95" s="187"/>
    </row>
    <row r="96" spans="2:8" x14ac:dyDescent="0.2">
      <c r="C96" s="134" t="s">
        <v>891</v>
      </c>
      <c r="D96" s="188">
        <v>9.44</v>
      </c>
      <c r="E96" s="181"/>
      <c r="F96" s="180"/>
      <c r="G96" s="185"/>
      <c r="H96" s="187"/>
    </row>
    <row r="97" spans="2:8" ht="12" thickBot="1" x14ac:dyDescent="0.25">
      <c r="C97" s="134" t="s">
        <v>892</v>
      </c>
      <c r="D97" s="189">
        <f>D95/D96</f>
        <v>539.41555000000028</v>
      </c>
      <c r="E97" s="181"/>
      <c r="F97" s="180"/>
      <c r="G97" s="187"/>
      <c r="H97" s="190"/>
    </row>
    <row r="98" spans="2:8" ht="12" thickBot="1" x14ac:dyDescent="0.25">
      <c r="C98" s="191" t="s">
        <v>893</v>
      </c>
      <c r="D98" s="192">
        <f>D97*D29</f>
        <v>72821.099250000043</v>
      </c>
      <c r="E98" s="185"/>
      <c r="F98" s="181"/>
      <c r="G98" s="187"/>
    </row>
    <row r="99" spans="2:8" ht="12" thickBot="1" x14ac:dyDescent="0.25">
      <c r="C99" s="1030"/>
      <c r="D99" s="1010"/>
      <c r="E99" s="185"/>
      <c r="F99" s="181"/>
      <c r="G99" s="187"/>
    </row>
    <row r="100" spans="2:8" ht="12" thickBot="1" x14ac:dyDescent="0.25">
      <c r="B100" s="121" t="s">
        <v>3596</v>
      </c>
      <c r="C100" s="146" t="s">
        <v>894</v>
      </c>
      <c r="D100" s="184">
        <v>0.9</v>
      </c>
      <c r="E100" s="185"/>
      <c r="F100" s="181"/>
      <c r="G100" s="187"/>
    </row>
    <row r="101" spans="2:8" ht="12" thickBot="1" x14ac:dyDescent="0.25">
      <c r="C101" s="134" t="s">
        <v>869</v>
      </c>
      <c r="D101" s="186">
        <f>$D$43/D100</f>
        <v>5092.082792000002</v>
      </c>
      <c r="E101" s="185"/>
      <c r="F101" s="181"/>
      <c r="G101" s="187"/>
    </row>
    <row r="102" spans="2:8" ht="12" thickBot="1" x14ac:dyDescent="0.25">
      <c r="C102" s="191" t="s">
        <v>893</v>
      </c>
      <c r="D102" s="192">
        <f>D101*D33</f>
        <v>127302.06980000006</v>
      </c>
      <c r="E102" s="185"/>
      <c r="F102" s="181"/>
      <c r="G102" s="187"/>
    </row>
    <row r="103" spans="2:8" ht="12" thickBot="1" x14ac:dyDescent="0.25">
      <c r="B103" s="120"/>
    </row>
    <row r="104" spans="2:8" ht="12" thickBot="1" x14ac:dyDescent="0.25">
      <c r="B104" s="117" t="s">
        <v>895</v>
      </c>
      <c r="C104" s="146" t="s">
        <v>894</v>
      </c>
      <c r="D104" s="184">
        <v>0.7</v>
      </c>
    </row>
    <row r="105" spans="2:8" x14ac:dyDescent="0.2">
      <c r="C105" s="134" t="s">
        <v>869</v>
      </c>
      <c r="D105" s="186">
        <f>$D$43/D104</f>
        <v>6546.9635897142889</v>
      </c>
    </row>
    <row r="106" spans="2:8" x14ac:dyDescent="0.2">
      <c r="C106" s="134" t="s">
        <v>891</v>
      </c>
      <c r="D106" s="193">
        <v>3.5</v>
      </c>
    </row>
    <row r="107" spans="2:8" ht="12" thickBot="1" x14ac:dyDescent="0.25">
      <c r="C107" s="134" t="s">
        <v>892</v>
      </c>
      <c r="D107" s="194">
        <f>D105/D106</f>
        <v>1870.561025632654</v>
      </c>
    </row>
    <row r="108" spans="2:8" ht="12" thickBot="1" x14ac:dyDescent="0.25">
      <c r="C108" s="191" t="s">
        <v>1046</v>
      </c>
      <c r="D108" s="192">
        <f>D107*D30</f>
        <v>56116.83076897962</v>
      </c>
    </row>
    <row r="109" spans="2:8" ht="12" thickBot="1" x14ac:dyDescent="0.25"/>
    <row r="110" spans="2:8" ht="12" thickBot="1" x14ac:dyDescent="0.25">
      <c r="B110" s="117" t="s">
        <v>1327</v>
      </c>
      <c r="C110" s="146" t="s">
        <v>894</v>
      </c>
      <c r="D110" s="184">
        <v>0.75</v>
      </c>
    </row>
    <row r="111" spans="2:8" x14ac:dyDescent="0.2">
      <c r="C111" s="134" t="s">
        <v>869</v>
      </c>
      <c r="D111" s="186">
        <f>$D$34/2</f>
        <v>745.20833333333348</v>
      </c>
    </row>
    <row r="112" spans="2:8" x14ac:dyDescent="0.2">
      <c r="C112" s="134" t="s">
        <v>891</v>
      </c>
      <c r="D112" s="193">
        <v>3.5</v>
      </c>
    </row>
    <row r="113" spans="2:4" ht="12" thickBot="1" x14ac:dyDescent="0.25">
      <c r="C113" s="134" t="s">
        <v>892</v>
      </c>
      <c r="D113" s="194">
        <f>D111/D112</f>
        <v>212.91666666666671</v>
      </c>
    </row>
    <row r="114" spans="2:4" ht="12" thickBot="1" x14ac:dyDescent="0.25">
      <c r="C114" s="191" t="s">
        <v>907</v>
      </c>
      <c r="D114" s="192">
        <f>D113*D30</f>
        <v>6387.5000000000018</v>
      </c>
    </row>
    <row r="115" spans="2:4" ht="12" thickBot="1" x14ac:dyDescent="0.25"/>
    <row r="116" spans="2:4" ht="12" thickBot="1" x14ac:dyDescent="0.25">
      <c r="B116" s="121" t="s">
        <v>1330</v>
      </c>
      <c r="C116" s="146" t="s">
        <v>906</v>
      </c>
      <c r="D116" s="184">
        <v>0.95</v>
      </c>
    </row>
    <row r="117" spans="2:4" x14ac:dyDescent="0.2">
      <c r="C117" s="134" t="s">
        <v>896</v>
      </c>
      <c r="D117" s="195">
        <v>100</v>
      </c>
    </row>
    <row r="118" spans="2:4" x14ac:dyDescent="0.2">
      <c r="C118" s="134" t="s">
        <v>892</v>
      </c>
      <c r="D118" s="196">
        <v>1000</v>
      </c>
    </row>
    <row r="119" spans="2:4" x14ac:dyDescent="0.2">
      <c r="C119" s="134" t="s">
        <v>891</v>
      </c>
      <c r="D119" s="188">
        <v>9.44</v>
      </c>
    </row>
    <row r="120" spans="2:4" ht="12" thickBot="1" x14ac:dyDescent="0.25">
      <c r="C120" s="134" t="s">
        <v>892</v>
      </c>
      <c r="D120" s="189">
        <f>D118/D119</f>
        <v>105.93220338983052</v>
      </c>
    </row>
    <row r="121" spans="2:4" ht="12" thickBot="1" x14ac:dyDescent="0.25">
      <c r="C121" s="191" t="s">
        <v>907</v>
      </c>
      <c r="D121" s="192">
        <f>D29*D120</f>
        <v>14300.84745762712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Lenyíló 11">
              <controlPr defaultSize="0" autoLine="0" autoPict="0">
                <anchor moveWithCells="1">
                  <from>
                    <xdr:col>5</xdr:col>
                    <xdr:colOff>133350</xdr:colOff>
                    <xdr:row>1</xdr:row>
                    <xdr:rowOff>123825</xdr:rowOff>
                  </from>
                  <to>
                    <xdr:col>5</xdr:col>
                    <xdr:colOff>847725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5" name="Lenyíló 13">
              <controlPr defaultSize="0" autoLine="0" autoPict="0">
                <anchor moveWithCells="1">
                  <from>
                    <xdr:col>11</xdr:col>
                    <xdr:colOff>0</xdr:colOff>
                    <xdr:row>1</xdr:row>
                    <xdr:rowOff>114300</xdr:rowOff>
                  </from>
                  <to>
                    <xdr:col>12</xdr:col>
                    <xdr:colOff>9525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6" name="Lenyíló 14">
              <controlPr defaultSize="0" autoLine="0" autoPict="0">
                <anchor moveWithCells="1">
                  <from>
                    <xdr:col>6</xdr:col>
                    <xdr:colOff>190500</xdr:colOff>
                    <xdr:row>1</xdr:row>
                    <xdr:rowOff>123825</xdr:rowOff>
                  </from>
                  <to>
                    <xdr:col>6</xdr:col>
                    <xdr:colOff>904875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Munka16"/>
  <dimension ref="B2:C12"/>
  <sheetViews>
    <sheetView workbookViewId="0">
      <selection activeCell="G27" sqref="G27"/>
    </sheetView>
  </sheetViews>
  <sheetFormatPr defaultRowHeight="12.75" x14ac:dyDescent="0.2"/>
  <cols>
    <col min="2" max="2" width="28" bestFit="1" customWidth="1"/>
    <col min="3" max="3" width="12.42578125" bestFit="1" customWidth="1"/>
  </cols>
  <sheetData>
    <row r="2" spans="2:3" x14ac:dyDescent="0.2">
      <c r="B2" t="s">
        <v>1588</v>
      </c>
      <c r="C2">
        <v>110</v>
      </c>
    </row>
    <row r="3" spans="2:3" x14ac:dyDescent="0.2">
      <c r="B3" t="s">
        <v>1604</v>
      </c>
      <c r="C3" s="2">
        <v>250000</v>
      </c>
    </row>
    <row r="4" spans="2:3" x14ac:dyDescent="0.2">
      <c r="B4" t="s">
        <v>1599</v>
      </c>
      <c r="C4">
        <v>1.1499999999999999</v>
      </c>
    </row>
    <row r="5" spans="2:3" x14ac:dyDescent="0.2">
      <c r="B5" s="321" t="s">
        <v>1590</v>
      </c>
      <c r="C5">
        <v>1</v>
      </c>
    </row>
    <row r="6" spans="2:3" x14ac:dyDescent="0.2">
      <c r="B6" t="s">
        <v>1589</v>
      </c>
      <c r="C6">
        <v>0.85</v>
      </c>
    </row>
    <row r="7" spans="2:3" x14ac:dyDescent="0.2">
      <c r="B7" t="s">
        <v>1600</v>
      </c>
      <c r="C7">
        <v>0.9</v>
      </c>
    </row>
    <row r="8" spans="2:3" x14ac:dyDescent="0.2">
      <c r="B8" t="s">
        <v>1601</v>
      </c>
      <c r="C8">
        <v>1.1000000000000001</v>
      </c>
    </row>
    <row r="9" spans="2:3" x14ac:dyDescent="0.2">
      <c r="B9" t="s">
        <v>1602</v>
      </c>
      <c r="C9">
        <v>1.05</v>
      </c>
    </row>
    <row r="10" spans="2:3" x14ac:dyDescent="0.2">
      <c r="B10" t="s">
        <v>1603</v>
      </c>
      <c r="C10">
        <v>1.05</v>
      </c>
    </row>
    <row r="12" spans="2:3" x14ac:dyDescent="0.2">
      <c r="C12" s="3">
        <f>C2*C3*C4*C5*C6*C7*C8*C9*C10</f>
        <v>29340212.343749996</v>
      </c>
    </row>
  </sheetData>
  <phoneticPr fontId="2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46"/>
  <dimension ref="A2:L91"/>
  <sheetViews>
    <sheetView zoomScale="80" zoomScaleNormal="80" workbookViewId="0">
      <selection activeCell="J15" sqref="J15"/>
    </sheetView>
  </sheetViews>
  <sheetFormatPr defaultRowHeight="12.75" x14ac:dyDescent="0.2"/>
  <cols>
    <col min="2" max="2" width="55.42578125" customWidth="1"/>
    <col min="3" max="3" width="14" bestFit="1" customWidth="1"/>
    <col min="4" max="4" width="13.7109375" customWidth="1"/>
    <col min="5" max="5" width="21.140625" bestFit="1" customWidth="1"/>
    <col min="6" max="6" width="8.85546875" customWidth="1"/>
    <col min="7" max="7" width="38.7109375" customWidth="1"/>
    <col min="8" max="8" width="14.28515625" customWidth="1"/>
    <col min="9" max="9" width="12.42578125" bestFit="1" customWidth="1"/>
    <col min="10" max="10" width="21.140625" bestFit="1" customWidth="1"/>
    <col min="12" max="12" width="13.28515625" customWidth="1"/>
  </cols>
  <sheetData>
    <row r="2" spans="2:10" ht="13.5" thickBot="1" x14ac:dyDescent="0.25"/>
    <row r="3" spans="2:10" ht="13.5" thickBot="1" x14ac:dyDescent="0.25">
      <c r="B3" s="687" t="s">
        <v>3610</v>
      </c>
      <c r="C3" s="1035">
        <v>24</v>
      </c>
      <c r="D3" s="1036">
        <v>280</v>
      </c>
      <c r="E3" s="1037">
        <f>C3*D3/1000</f>
        <v>6.72</v>
      </c>
      <c r="G3" s="687" t="s">
        <v>3611</v>
      </c>
      <c r="H3" s="1035">
        <v>21</v>
      </c>
      <c r="I3" s="1036">
        <v>285</v>
      </c>
      <c r="J3" s="1037">
        <f>H3*I3/1000</f>
        <v>5.9850000000000003</v>
      </c>
    </row>
    <row r="4" spans="2:10" ht="13.5" thickBot="1" x14ac:dyDescent="0.25"/>
    <row r="5" spans="2:10" ht="13.5" thickBot="1" x14ac:dyDescent="0.25">
      <c r="B5" s="1038">
        <v>42883</v>
      </c>
      <c r="C5" s="1039">
        <v>0.66666666666666663</v>
      </c>
      <c r="D5" s="64">
        <v>1329</v>
      </c>
      <c r="E5" s="1040">
        <f>D5/4/1000</f>
        <v>0.33224999999999999</v>
      </c>
    </row>
    <row r="6" spans="2:10" x14ac:dyDescent="0.2">
      <c r="B6">
        <v>15.88</v>
      </c>
      <c r="C6" s="1041">
        <v>0.67708333333333337</v>
      </c>
      <c r="D6" s="47">
        <v>1064</v>
      </c>
      <c r="E6" s="1042">
        <f t="shared" ref="E6:E20" si="0">D6/4/1000</f>
        <v>0.26600000000000001</v>
      </c>
    </row>
    <row r="7" spans="2:10" x14ac:dyDescent="0.2">
      <c r="B7">
        <v>1.75</v>
      </c>
      <c r="C7" s="1041">
        <v>0.6875</v>
      </c>
      <c r="D7" s="47">
        <v>797</v>
      </c>
      <c r="E7" s="1042">
        <f t="shared" si="0"/>
        <v>0.19925000000000001</v>
      </c>
    </row>
    <row r="8" spans="2:10" x14ac:dyDescent="0.2">
      <c r="B8" s="1057">
        <f>B7/B6</f>
        <v>0.11020151133501259</v>
      </c>
      <c r="C8" s="1041">
        <v>0.69791666666666663</v>
      </c>
      <c r="D8" s="47">
        <v>633</v>
      </c>
      <c r="E8" s="1042">
        <f t="shared" si="0"/>
        <v>0.15825</v>
      </c>
      <c r="G8" s="104" t="s">
        <v>3603</v>
      </c>
    </row>
    <row r="9" spans="2:10" x14ac:dyDescent="0.2">
      <c r="B9" s="55"/>
      <c r="C9" s="1041">
        <v>0.70833333333333337</v>
      </c>
      <c r="D9" s="47">
        <v>467</v>
      </c>
      <c r="E9" s="1042">
        <f t="shared" si="0"/>
        <v>0.11675000000000001</v>
      </c>
      <c r="G9" s="104" t="s">
        <v>3604</v>
      </c>
    </row>
    <row r="10" spans="2:10" x14ac:dyDescent="0.2">
      <c r="B10" s="55"/>
      <c r="C10" s="1041">
        <v>0.71875</v>
      </c>
      <c r="D10" s="47">
        <v>326</v>
      </c>
      <c r="E10" s="1042">
        <f t="shared" si="0"/>
        <v>8.1500000000000003E-2</v>
      </c>
    </row>
    <row r="11" spans="2:10" x14ac:dyDescent="0.2">
      <c r="B11" s="55"/>
      <c r="C11" s="1041">
        <v>0.72916666666666663</v>
      </c>
      <c r="D11" s="47">
        <v>251</v>
      </c>
      <c r="E11" s="1042">
        <f t="shared" si="0"/>
        <v>6.275E-2</v>
      </c>
    </row>
    <row r="12" spans="2:10" x14ac:dyDescent="0.2">
      <c r="B12" s="55"/>
      <c r="C12" s="1041">
        <v>0.73958333333333337</v>
      </c>
      <c r="D12" s="47">
        <v>212</v>
      </c>
      <c r="E12" s="1042">
        <f t="shared" si="0"/>
        <v>5.2999999999999999E-2</v>
      </c>
      <c r="G12" s="47" t="s">
        <v>3635</v>
      </c>
      <c r="H12">
        <v>49000</v>
      </c>
      <c r="J12" s="1104">
        <v>0</v>
      </c>
    </row>
    <row r="13" spans="2:10" x14ac:dyDescent="0.2">
      <c r="B13" s="55"/>
      <c r="C13" s="1041">
        <v>0.75</v>
      </c>
      <c r="D13" s="47">
        <v>204</v>
      </c>
      <c r="E13" s="1042">
        <f t="shared" si="0"/>
        <v>5.0999999999999997E-2</v>
      </c>
      <c r="G13" s="47" t="s">
        <v>3636</v>
      </c>
      <c r="H13">
        <v>60000</v>
      </c>
    </row>
    <row r="14" spans="2:10" ht="13.5" thickBot="1" x14ac:dyDescent="0.25">
      <c r="B14" s="55"/>
      <c r="C14" s="1041">
        <v>0.76041666666666663</v>
      </c>
      <c r="D14" s="47">
        <v>184</v>
      </c>
      <c r="E14" s="1042">
        <f t="shared" si="0"/>
        <v>4.5999999999999999E-2</v>
      </c>
    </row>
    <row r="15" spans="2:10" x14ac:dyDescent="0.2">
      <c r="B15" s="55"/>
      <c r="C15" s="1041">
        <v>0.77083333333333337</v>
      </c>
      <c r="D15" s="47">
        <v>167</v>
      </c>
      <c r="E15" s="1042">
        <f t="shared" si="0"/>
        <v>4.1750000000000002E-2</v>
      </c>
      <c r="G15" s="1049" t="s">
        <v>3691</v>
      </c>
      <c r="H15" s="64">
        <v>0.31</v>
      </c>
      <c r="I15" s="323"/>
    </row>
    <row r="16" spans="2:10" x14ac:dyDescent="0.2">
      <c r="B16" s="55"/>
      <c r="C16" s="1041">
        <v>0.78125</v>
      </c>
      <c r="D16" s="47">
        <v>143</v>
      </c>
      <c r="E16" s="1042">
        <f t="shared" si="0"/>
        <v>3.5749999999999997E-2</v>
      </c>
      <c r="G16" s="55">
        <v>2560</v>
      </c>
      <c r="H16" s="47">
        <f>G16*$H$15/10</f>
        <v>79.36</v>
      </c>
      <c r="I16" s="1050">
        <f>POWER(H16,2)</f>
        <v>6298.0096000000003</v>
      </c>
    </row>
    <row r="17" spans="2:12" x14ac:dyDescent="0.2">
      <c r="B17" s="55"/>
      <c r="C17" s="1041">
        <v>0.79166666666666663</v>
      </c>
      <c r="D17" s="47">
        <v>123</v>
      </c>
      <c r="E17" s="1042">
        <f t="shared" si="0"/>
        <v>3.075E-2</v>
      </c>
      <c r="G17" s="55">
        <v>1080</v>
      </c>
      <c r="H17" s="47">
        <f>G17*$H$15/10</f>
        <v>33.480000000000004</v>
      </c>
      <c r="I17" s="1050">
        <f>POWER(H17,2)</f>
        <v>1120.9104000000002</v>
      </c>
    </row>
    <row r="18" spans="2:12" x14ac:dyDescent="0.2">
      <c r="B18" s="55"/>
      <c r="C18" s="1041">
        <v>0.80208333333333337</v>
      </c>
      <c r="D18" s="47">
        <v>96</v>
      </c>
      <c r="E18" s="1042">
        <f t="shared" si="0"/>
        <v>2.4E-2</v>
      </c>
      <c r="G18" s="55"/>
      <c r="H18" s="47"/>
      <c r="I18" s="1050">
        <f>(I16+I17)</f>
        <v>7418.92</v>
      </c>
    </row>
    <row r="19" spans="2:12" x14ac:dyDescent="0.2">
      <c r="B19" s="55"/>
      <c r="C19" s="1041">
        <v>0.8125</v>
      </c>
      <c r="D19" s="47">
        <v>64</v>
      </c>
      <c r="E19" s="1042">
        <f t="shared" si="0"/>
        <v>1.6E-2</v>
      </c>
      <c r="G19" s="55"/>
      <c r="H19" s="47"/>
      <c r="I19" s="1073">
        <f>SQRT(I18)</f>
        <v>86.133152734588791</v>
      </c>
    </row>
    <row r="20" spans="2:12" ht="13.5" thickBot="1" x14ac:dyDescent="0.25">
      <c r="B20" s="55"/>
      <c r="C20" s="1041">
        <v>0.82291666666666663</v>
      </c>
      <c r="D20" s="47">
        <v>27</v>
      </c>
      <c r="E20" s="1042">
        <f t="shared" si="0"/>
        <v>6.7499999999999999E-3</v>
      </c>
      <c r="G20" s="326"/>
      <c r="H20" s="65"/>
      <c r="I20" s="1051">
        <f>I19/2.54</f>
        <v>33.910690052987711</v>
      </c>
    </row>
    <row r="21" spans="2:12" ht="13.5" thickBot="1" x14ac:dyDescent="0.25">
      <c r="B21" s="55" t="s">
        <v>3612</v>
      </c>
      <c r="C21" s="47"/>
      <c r="D21" s="47"/>
      <c r="E21" s="1042">
        <f>SUM(E5:E20)</f>
        <v>1.5217499999999999</v>
      </c>
    </row>
    <row r="22" spans="2:12" ht="13.5" thickBot="1" x14ac:dyDescent="0.25">
      <c r="B22" s="55" t="s">
        <v>3613</v>
      </c>
      <c r="C22" s="47"/>
      <c r="D22" s="47"/>
      <c r="E22" s="1042">
        <v>44.89</v>
      </c>
      <c r="G22" s="687" t="s">
        <v>3614</v>
      </c>
      <c r="H22" s="1043"/>
      <c r="I22" s="1043"/>
      <c r="J22" s="1081">
        <v>0.08</v>
      </c>
    </row>
    <row r="23" spans="2:12" ht="15.75" thickBot="1" x14ac:dyDescent="0.3">
      <c r="B23" s="326" t="s">
        <v>3615</v>
      </c>
      <c r="C23" s="65"/>
      <c r="D23" s="65"/>
      <c r="E23" s="1044">
        <f>E21/E22</f>
        <v>3.3899532189797278E-2</v>
      </c>
      <c r="G23" s="322" t="s">
        <v>3616</v>
      </c>
      <c r="H23" s="64"/>
      <c r="I23" s="64"/>
      <c r="J23" s="1080">
        <f>E66+J22</f>
        <v>0.18500634050668435</v>
      </c>
    </row>
    <row r="24" spans="2:12" x14ac:dyDescent="0.2">
      <c r="B24" s="322" t="s">
        <v>3617</v>
      </c>
      <c r="C24" s="64"/>
      <c r="D24" s="64"/>
      <c r="E24" s="1065">
        <f>D65</f>
        <v>7847</v>
      </c>
      <c r="G24" s="55" t="s">
        <v>3643</v>
      </c>
      <c r="H24" s="47"/>
      <c r="I24" s="47"/>
      <c r="J24" s="1068">
        <f>J3*E76</f>
        <v>7275.6730376904952</v>
      </c>
    </row>
    <row r="25" spans="2:12" x14ac:dyDescent="0.2">
      <c r="B25" s="55" t="s">
        <v>3617</v>
      </c>
      <c r="C25" s="47"/>
      <c r="D25" s="47"/>
      <c r="E25" s="1066">
        <f>E24/E3</f>
        <v>1167.7083333333335</v>
      </c>
      <c r="G25" s="55" t="s">
        <v>3617</v>
      </c>
      <c r="H25" s="47"/>
      <c r="I25" s="47"/>
      <c r="J25" s="1066">
        <f>J24/J3</f>
        <v>1215.6513012014193</v>
      </c>
      <c r="L25" s="1045"/>
    </row>
    <row r="26" spans="2:12" ht="13.5" thickBot="1" x14ac:dyDescent="0.25">
      <c r="B26" s="941" t="s">
        <v>3642</v>
      </c>
      <c r="C26" s="987"/>
      <c r="D26" s="987"/>
      <c r="E26" s="1074">
        <v>0</v>
      </c>
      <c r="G26" s="326" t="s">
        <v>3638</v>
      </c>
      <c r="H26" s="65"/>
      <c r="I26" s="65"/>
      <c r="J26" s="1067">
        <f>J25*(1-J23)</f>
        <v>990.74810263395557</v>
      </c>
    </row>
    <row r="27" spans="2:12" ht="15.75" thickBot="1" x14ac:dyDescent="0.3">
      <c r="B27" s="55" t="s">
        <v>3641</v>
      </c>
      <c r="C27" s="47"/>
      <c r="D27" s="47"/>
      <c r="E27" s="1066">
        <f>E25*(1-E26)</f>
        <v>1167.7083333333335</v>
      </c>
      <c r="G27" s="1046" t="s">
        <v>3618</v>
      </c>
      <c r="H27" s="1047"/>
      <c r="I27" s="1047"/>
      <c r="J27" s="1069">
        <f>J26*J3</f>
        <v>5929.6273942642247</v>
      </c>
    </row>
    <row r="28" spans="2:12" ht="15.75" thickBot="1" x14ac:dyDescent="0.3">
      <c r="B28" s="326" t="s">
        <v>3638</v>
      </c>
      <c r="C28" s="65"/>
      <c r="D28" s="65"/>
      <c r="E28" s="1067">
        <f>E25*(1-E23)</f>
        <v>1128.1235670992057</v>
      </c>
      <c r="G28" s="1046" t="s">
        <v>3619</v>
      </c>
      <c r="H28" s="1056">
        <v>40</v>
      </c>
      <c r="I28" s="1047"/>
      <c r="J28" s="1048">
        <f>J27*H28</f>
        <v>237185.09577056899</v>
      </c>
    </row>
    <row r="30" spans="2:12" ht="13.5" thickBot="1" x14ac:dyDescent="0.25"/>
    <row r="31" spans="2:12" ht="13.5" thickBot="1" x14ac:dyDescent="0.25">
      <c r="B31" s="1038">
        <v>42720</v>
      </c>
      <c r="C31" s="1039">
        <v>0.5</v>
      </c>
      <c r="D31" s="64">
        <v>2355</v>
      </c>
      <c r="E31" s="1040">
        <f>D31/4/1000</f>
        <v>0.58875</v>
      </c>
      <c r="G31" s="1049" t="s">
        <v>3620</v>
      </c>
      <c r="H31" s="64">
        <v>0.2286</v>
      </c>
      <c r="I31" s="323"/>
    </row>
    <row r="32" spans="2:12" x14ac:dyDescent="0.2">
      <c r="B32" s="55">
        <v>11.69</v>
      </c>
      <c r="C32" s="1041">
        <v>0.51041666666666663</v>
      </c>
      <c r="D32" s="47">
        <v>2137</v>
      </c>
      <c r="E32" s="1042">
        <f t="shared" ref="E32:E46" si="1">D32/4/1000</f>
        <v>0.53425</v>
      </c>
      <c r="G32" s="55">
        <v>2560</v>
      </c>
      <c r="H32" s="47">
        <f>G32*$H$31/10</f>
        <v>58.521599999999999</v>
      </c>
      <c r="I32" s="1050">
        <f>POWER(H32,2)</f>
        <v>3424.7776665599999</v>
      </c>
    </row>
    <row r="33" spans="2:9" x14ac:dyDescent="0.2">
      <c r="B33" s="55">
        <v>2.71</v>
      </c>
      <c r="C33" s="1041">
        <v>0.52083333333333337</v>
      </c>
      <c r="D33" s="47">
        <v>1914</v>
      </c>
      <c r="E33" s="1042">
        <f t="shared" si="1"/>
        <v>0.47849999999999998</v>
      </c>
      <c r="G33" s="55">
        <v>1080</v>
      </c>
      <c r="H33" s="47">
        <f>G33*$H$31/10</f>
        <v>24.688800000000001</v>
      </c>
      <c r="I33" s="1050">
        <f>POWER(H33,2)</f>
        <v>609.53684543999998</v>
      </c>
    </row>
    <row r="34" spans="2:9" x14ac:dyDescent="0.2">
      <c r="B34" s="1059">
        <f>B33/B32</f>
        <v>0.23182207014542344</v>
      </c>
      <c r="C34" s="1041">
        <v>0.53125</v>
      </c>
      <c r="D34" s="47">
        <v>1679</v>
      </c>
      <c r="E34" s="1042">
        <f t="shared" si="1"/>
        <v>0.41975000000000001</v>
      </c>
      <c r="G34" s="55"/>
      <c r="H34" s="47"/>
      <c r="I34" s="1050">
        <f>(I32+I33)</f>
        <v>4034.3145119999999</v>
      </c>
    </row>
    <row r="35" spans="2:9" x14ac:dyDescent="0.2">
      <c r="B35" s="55"/>
      <c r="C35" s="1041">
        <v>0.54166666666666663</v>
      </c>
      <c r="D35" s="47">
        <v>1416</v>
      </c>
      <c r="E35" s="1042">
        <f t="shared" si="1"/>
        <v>0.35399999999999998</v>
      </c>
      <c r="G35" s="55"/>
      <c r="H35" s="47"/>
      <c r="I35" s="1073">
        <f>SQRT(I34)</f>
        <v>63.516253919764509</v>
      </c>
    </row>
    <row r="36" spans="2:9" ht="13.5" thickBot="1" x14ac:dyDescent="0.25">
      <c r="B36" s="55"/>
      <c r="C36" s="1041">
        <v>0.55208333333333337</v>
      </c>
      <c r="D36" s="47">
        <v>1158</v>
      </c>
      <c r="E36" s="1042">
        <f t="shared" si="1"/>
        <v>0.28949999999999998</v>
      </c>
      <c r="G36" s="326"/>
      <c r="H36" s="65"/>
      <c r="I36" s="1051">
        <f>I35/2.54</f>
        <v>25.006399181009648</v>
      </c>
    </row>
    <row r="37" spans="2:9" x14ac:dyDescent="0.2">
      <c r="B37" s="55"/>
      <c r="C37" s="1041">
        <v>0.5625</v>
      </c>
      <c r="D37" s="47">
        <v>899</v>
      </c>
      <c r="E37" s="1042">
        <f t="shared" si="1"/>
        <v>0.22475000000000001</v>
      </c>
    </row>
    <row r="38" spans="2:9" ht="13.5" thickBot="1" x14ac:dyDescent="0.25">
      <c r="B38" s="55"/>
      <c r="C38" s="1041">
        <v>0.57291666666666663</v>
      </c>
      <c r="D38" s="47">
        <v>684</v>
      </c>
      <c r="E38" s="1042">
        <f t="shared" si="1"/>
        <v>0.17100000000000001</v>
      </c>
    </row>
    <row r="39" spans="2:9" x14ac:dyDescent="0.2">
      <c r="B39" s="55"/>
      <c r="C39" s="1041">
        <v>0.58333333333333337</v>
      </c>
      <c r="D39" s="47">
        <v>461</v>
      </c>
      <c r="E39" s="1042">
        <f t="shared" si="1"/>
        <v>0.11525000000000001</v>
      </c>
      <c r="G39" s="1049" t="s">
        <v>3621</v>
      </c>
      <c r="H39" s="64">
        <v>0.26279999999999998</v>
      </c>
      <c r="I39" s="323"/>
    </row>
    <row r="40" spans="2:9" x14ac:dyDescent="0.2">
      <c r="B40" s="55"/>
      <c r="C40" s="1041">
        <v>0.59375</v>
      </c>
      <c r="D40" s="47">
        <v>287</v>
      </c>
      <c r="E40" s="1042">
        <f t="shared" si="1"/>
        <v>7.1749999999999994E-2</v>
      </c>
      <c r="G40" s="55">
        <v>2560</v>
      </c>
      <c r="H40" s="47">
        <f>G40*$H$39/10</f>
        <v>67.276799999999994</v>
      </c>
      <c r="I40" s="1050">
        <f>POWER(H40,2)</f>
        <v>4526.1678182399992</v>
      </c>
    </row>
    <row r="41" spans="2:9" x14ac:dyDescent="0.2">
      <c r="B41" s="55"/>
      <c r="C41" s="1041">
        <v>0.60416666666666663</v>
      </c>
      <c r="D41" s="47">
        <v>185</v>
      </c>
      <c r="E41" s="1042">
        <f t="shared" si="1"/>
        <v>4.6249999999999999E-2</v>
      </c>
      <c r="G41" s="55">
        <v>1080</v>
      </c>
      <c r="H41" s="47">
        <f>G41*$H$39/10</f>
        <v>28.382399999999997</v>
      </c>
      <c r="I41" s="1050">
        <f>POWER(H41,2)</f>
        <v>805.56062975999987</v>
      </c>
    </row>
    <row r="42" spans="2:9" x14ac:dyDescent="0.2">
      <c r="B42" s="55"/>
      <c r="C42" s="1041">
        <v>0.61458333333333337</v>
      </c>
      <c r="D42" s="47">
        <v>123</v>
      </c>
      <c r="E42" s="1042">
        <f t="shared" si="1"/>
        <v>3.075E-2</v>
      </c>
      <c r="G42" s="55"/>
      <c r="H42" s="47"/>
      <c r="I42" s="1050">
        <f>(I40+I41)</f>
        <v>5331.7284479999989</v>
      </c>
    </row>
    <row r="43" spans="2:9" x14ac:dyDescent="0.2">
      <c r="B43" s="55"/>
      <c r="C43" s="1041">
        <v>0.625</v>
      </c>
      <c r="D43" s="47">
        <v>82</v>
      </c>
      <c r="E43" s="1042">
        <f t="shared" si="1"/>
        <v>2.0500000000000001E-2</v>
      </c>
      <c r="G43" s="55"/>
      <c r="H43" s="47"/>
      <c r="I43" s="1073">
        <f>SQRT(I42)</f>
        <v>73.018685608548168</v>
      </c>
    </row>
    <row r="44" spans="2:9" ht="13.5" thickBot="1" x14ac:dyDescent="0.25">
      <c r="B44" s="55"/>
      <c r="C44" s="1041">
        <v>0.63541666666666663</v>
      </c>
      <c r="D44" s="47">
        <v>41</v>
      </c>
      <c r="E44" s="1042">
        <f t="shared" si="1"/>
        <v>1.025E-2</v>
      </c>
      <c r="G44" s="326"/>
      <c r="H44" s="65"/>
      <c r="I44" s="1051">
        <f>I43/2.54</f>
        <v>28.747514019113453</v>
      </c>
    </row>
    <row r="45" spans="2:9" x14ac:dyDescent="0.2">
      <c r="B45" s="55"/>
      <c r="C45" s="1041">
        <v>0.64583333333333337</v>
      </c>
      <c r="D45" s="47">
        <v>16</v>
      </c>
      <c r="E45" s="1042">
        <f t="shared" si="1"/>
        <v>4.0000000000000001E-3</v>
      </c>
    </row>
    <row r="46" spans="2:9" x14ac:dyDescent="0.2">
      <c r="B46" s="55"/>
      <c r="C46" s="1041">
        <v>0.65625</v>
      </c>
      <c r="D46" s="47">
        <v>0</v>
      </c>
      <c r="E46" s="1042">
        <f t="shared" si="1"/>
        <v>0</v>
      </c>
    </row>
    <row r="47" spans="2:9" x14ac:dyDescent="0.2">
      <c r="B47" s="55" t="s">
        <v>3622</v>
      </c>
      <c r="C47" s="47"/>
      <c r="D47" s="47"/>
      <c r="E47" s="1042">
        <f>SUM(E31:E46)</f>
        <v>3.3592500000000003</v>
      </c>
    </row>
    <row r="48" spans="2:9" x14ac:dyDescent="0.2">
      <c r="B48" s="55" t="s">
        <v>3613</v>
      </c>
      <c r="C48" s="47"/>
      <c r="D48" s="47"/>
      <c r="E48" s="1042">
        <v>14.77</v>
      </c>
    </row>
    <row r="49" spans="1:10" ht="15.75" thickBot="1" x14ac:dyDescent="0.3">
      <c r="B49" s="326" t="s">
        <v>3703</v>
      </c>
      <c r="C49" s="65"/>
      <c r="D49" s="65"/>
      <c r="E49" s="1044">
        <f>E47/E48</f>
        <v>0.22743737305348682</v>
      </c>
    </row>
    <row r="50" spans="1:10" ht="15.75" thickBot="1" x14ac:dyDescent="0.3">
      <c r="A50" s="1058">
        <f>SUM(A51:A60)/10</f>
        <v>0.67926944977473058</v>
      </c>
      <c r="F50">
        <v>4.5</v>
      </c>
    </row>
    <row r="51" spans="1:10" ht="15.75" thickBot="1" x14ac:dyDescent="0.3">
      <c r="A51" s="1054">
        <f t="shared" ref="A51:A60" si="2">F51/D53</f>
        <v>0.68384879725085912</v>
      </c>
      <c r="F51" s="1068">
        <v>199</v>
      </c>
      <c r="G51" s="1052">
        <f>J3/E3</f>
        <v>0.89062500000000011</v>
      </c>
    </row>
    <row r="52" spans="1:10" ht="15" x14ac:dyDescent="0.25">
      <c r="A52" s="1054">
        <f t="shared" si="2"/>
        <v>0.77586206896551724</v>
      </c>
      <c r="B52" s="322" t="s">
        <v>3639</v>
      </c>
      <c r="C52" s="64" t="s">
        <v>3623</v>
      </c>
      <c r="D52" s="64" t="s">
        <v>3624</v>
      </c>
      <c r="E52" s="323" t="s">
        <v>3625</v>
      </c>
      <c r="F52" s="1068">
        <v>225</v>
      </c>
      <c r="G52" s="322" t="s">
        <v>3626</v>
      </c>
      <c r="H52" s="64" t="s">
        <v>3623</v>
      </c>
      <c r="I52" s="64" t="s">
        <v>3624</v>
      </c>
      <c r="J52" s="323" t="s">
        <v>3625</v>
      </c>
    </row>
    <row r="53" spans="1:10" ht="15" x14ac:dyDescent="0.25">
      <c r="A53" s="1054">
        <f t="shared" si="2"/>
        <v>0.65960264900662247</v>
      </c>
      <c r="B53" s="1053" t="s">
        <v>3426</v>
      </c>
      <c r="C53" s="1054">
        <f>($C$64-$C$57)/5+C54</f>
        <v>0.18872980488074892</v>
      </c>
      <c r="D53" s="1070">
        <v>291</v>
      </c>
      <c r="E53" s="1068">
        <f>D53*(1-C53)</f>
        <v>236.07962677970207</v>
      </c>
      <c r="F53" s="1068">
        <v>498</v>
      </c>
      <c r="G53" s="1053" t="s">
        <v>3426</v>
      </c>
      <c r="H53" s="1054">
        <f>($C$64-$C$57)/5+H54</f>
        <v>0.18873027269095163</v>
      </c>
      <c r="I53" s="1070">
        <f t="shared" ref="I53:I64" si="3">D53*$G$51</f>
        <v>259.17187500000006</v>
      </c>
      <c r="J53" s="1068">
        <f>I53*(1-H53)</f>
        <v>210.2582963574248</v>
      </c>
    </row>
    <row r="54" spans="1:10" ht="15" x14ac:dyDescent="0.25">
      <c r="A54" s="1054">
        <f t="shared" si="2"/>
        <v>0.65968586387434558</v>
      </c>
      <c r="B54" s="1053" t="s">
        <v>3427</v>
      </c>
      <c r="C54" s="1054">
        <f>($C$64-$C$57)/5+C55</f>
        <v>0.15002223670801101</v>
      </c>
      <c r="D54" s="1070">
        <v>290</v>
      </c>
      <c r="E54" s="1068">
        <f t="shared" ref="E54:E64" si="4">D54*(1-C54)</f>
        <v>246.49355135467678</v>
      </c>
      <c r="F54" s="1068">
        <v>504</v>
      </c>
      <c r="G54" s="1053" t="s">
        <v>3427</v>
      </c>
      <c r="H54" s="1054">
        <f>($C$64-$C$57)/5+H55</f>
        <v>0.15002270451821373</v>
      </c>
      <c r="I54" s="1070">
        <f t="shared" si="3"/>
        <v>258.28125000000006</v>
      </c>
      <c r="J54" s="1068">
        <f t="shared" ref="J54:J64" si="5">I54*(1-H54)</f>
        <v>219.53319834865516</v>
      </c>
    </row>
    <row r="55" spans="1:10" ht="15" x14ac:dyDescent="0.25">
      <c r="A55" s="1054">
        <f t="shared" si="2"/>
        <v>0.68995215311004787</v>
      </c>
      <c r="B55" s="1053" t="s">
        <v>3428</v>
      </c>
      <c r="C55" s="1054">
        <f>($C$64-$C$57)/5+C56</f>
        <v>0.11131466853527311</v>
      </c>
      <c r="D55" s="1070">
        <v>755</v>
      </c>
      <c r="E55" s="1068">
        <f t="shared" si="4"/>
        <v>670.95742525586888</v>
      </c>
      <c r="F55" s="1068">
        <v>721</v>
      </c>
      <c r="G55" s="1053" t="s">
        <v>3428</v>
      </c>
      <c r="H55" s="1054">
        <f>($C$64-$C$57)/5+H56</f>
        <v>0.11131513634547582</v>
      </c>
      <c r="I55" s="1070">
        <f t="shared" si="3"/>
        <v>672.42187500000011</v>
      </c>
      <c r="J55" s="1068">
        <f t="shared" si="5"/>
        <v>597.57114230269462</v>
      </c>
    </row>
    <row r="56" spans="1:10" ht="15" x14ac:dyDescent="0.25">
      <c r="A56" s="1054">
        <f t="shared" si="2"/>
        <v>0.68853974121996309</v>
      </c>
      <c r="B56" s="1053" t="s">
        <v>3430</v>
      </c>
      <c r="C56" s="1054">
        <f>($C$64-$C$57)/5+C57</f>
        <v>7.260710036253519E-2</v>
      </c>
      <c r="D56" s="1070">
        <v>764</v>
      </c>
      <c r="E56" s="1068">
        <f t="shared" si="4"/>
        <v>708.52817532302311</v>
      </c>
      <c r="F56" s="1068">
        <v>745</v>
      </c>
      <c r="G56" s="1053" t="s">
        <v>3430</v>
      </c>
      <c r="H56" s="1054">
        <f>($C$64-$C$57)/5+H57</f>
        <v>7.2607568172737919E-2</v>
      </c>
      <c r="I56" s="1070">
        <f t="shared" si="3"/>
        <v>680.43750000000011</v>
      </c>
      <c r="J56" s="1068">
        <f t="shared" si="5"/>
        <v>631.03258783146271</v>
      </c>
    </row>
    <row r="57" spans="1:10" ht="15" x14ac:dyDescent="0.25">
      <c r="A57" s="1054">
        <f t="shared" si="2"/>
        <v>0.66091954022988508</v>
      </c>
      <c r="B57" s="1053" t="s">
        <v>3627</v>
      </c>
      <c r="C57" s="1054">
        <f>E23</f>
        <v>3.3899532189797278E-2</v>
      </c>
      <c r="D57" s="1070">
        <v>1045</v>
      </c>
      <c r="E57" s="1068">
        <f t="shared" si="4"/>
        <v>1009.5749888616618</v>
      </c>
      <c r="F57" s="1068">
        <v>690</v>
      </c>
      <c r="G57" s="1053" t="s">
        <v>3627</v>
      </c>
      <c r="H57" s="1054">
        <v>3.39E-2</v>
      </c>
      <c r="I57" s="1070">
        <f t="shared" si="3"/>
        <v>930.70312500000011</v>
      </c>
      <c r="J57" s="1068">
        <f t="shared" si="5"/>
        <v>899.15228906250002</v>
      </c>
    </row>
    <row r="58" spans="1:10" ht="15" x14ac:dyDescent="0.25">
      <c r="A58" s="1054">
        <f t="shared" si="2"/>
        <v>0.72016460905349799</v>
      </c>
      <c r="B58" s="1053" t="s">
        <v>3628</v>
      </c>
      <c r="C58" s="1054">
        <f t="shared" ref="C58:C63" si="6">($C$64-$C$57)/7+C57</f>
        <v>6.1547795170324354E-2</v>
      </c>
      <c r="D58" s="1070">
        <v>1082</v>
      </c>
      <c r="E58" s="1068">
        <f t="shared" si="4"/>
        <v>1015.405285625709</v>
      </c>
      <c r="F58" s="1068">
        <v>700</v>
      </c>
      <c r="G58" s="1053" t="s">
        <v>3628</v>
      </c>
      <c r="H58" s="1054">
        <f t="shared" ref="H58:H63" si="7">($C$64-$C$57)/7+H57</f>
        <v>6.1548262980527083E-2</v>
      </c>
      <c r="I58" s="1070">
        <f t="shared" si="3"/>
        <v>963.65625000000011</v>
      </c>
      <c r="J58" s="1068">
        <f t="shared" si="5"/>
        <v>904.34488170217162</v>
      </c>
    </row>
    <row r="59" spans="1:10" ht="15" x14ac:dyDescent="0.25">
      <c r="A59" s="1054">
        <f t="shared" si="2"/>
        <v>0.60787401574803146</v>
      </c>
      <c r="B59" s="1053" t="s">
        <v>3629</v>
      </c>
      <c r="C59" s="1054">
        <f t="shared" si="6"/>
        <v>8.9196058150851437E-2</v>
      </c>
      <c r="D59" s="1070">
        <v>1044</v>
      </c>
      <c r="E59" s="1068">
        <f t="shared" si="4"/>
        <v>950.87931529051116</v>
      </c>
      <c r="F59" s="1068">
        <v>386</v>
      </c>
      <c r="G59" s="1053" t="s">
        <v>3629</v>
      </c>
      <c r="H59" s="1054">
        <f t="shared" si="7"/>
        <v>8.9196525961054166E-2</v>
      </c>
      <c r="I59" s="1070">
        <f t="shared" si="3"/>
        <v>929.81250000000011</v>
      </c>
      <c r="J59" s="1068">
        <f t="shared" si="5"/>
        <v>846.87645520483738</v>
      </c>
    </row>
    <row r="60" spans="1:10" ht="15" x14ac:dyDescent="0.25">
      <c r="A60" s="1054">
        <f t="shared" si="2"/>
        <v>0.64624505928853759</v>
      </c>
      <c r="B60" s="1053" t="s">
        <v>3630</v>
      </c>
      <c r="C60" s="1054">
        <f t="shared" si="6"/>
        <v>0.11684432113137852</v>
      </c>
      <c r="D60" s="1070">
        <v>972</v>
      </c>
      <c r="E60" s="1068">
        <f t="shared" si="4"/>
        <v>858.42731986030003</v>
      </c>
      <c r="F60" s="1068">
        <v>327</v>
      </c>
      <c r="G60" s="1053" t="s">
        <v>3630</v>
      </c>
      <c r="H60" s="1054">
        <f t="shared" si="7"/>
        <v>0.11684478894158125</v>
      </c>
      <c r="I60" s="1070">
        <f t="shared" si="3"/>
        <v>865.68750000000011</v>
      </c>
      <c r="J60" s="1068">
        <f t="shared" si="5"/>
        <v>764.53642677313496</v>
      </c>
    </row>
    <row r="61" spans="1:10" ht="15" x14ac:dyDescent="0.25">
      <c r="B61" s="1053" t="s">
        <v>3631</v>
      </c>
      <c r="C61" s="1054">
        <f t="shared" si="6"/>
        <v>0.1444925841119056</v>
      </c>
      <c r="D61" s="1070">
        <v>635</v>
      </c>
      <c r="E61" s="1068">
        <f t="shared" si="4"/>
        <v>543.24720908893994</v>
      </c>
      <c r="G61" s="1053" t="s">
        <v>3631</v>
      </c>
      <c r="H61" s="1054">
        <f t="shared" si="7"/>
        <v>0.14449305192210832</v>
      </c>
      <c r="I61" s="1070">
        <f t="shared" si="3"/>
        <v>565.54687500000011</v>
      </c>
      <c r="J61" s="1068">
        <f t="shared" si="5"/>
        <v>483.82928102623896</v>
      </c>
    </row>
    <row r="62" spans="1:10" ht="15" x14ac:dyDescent="0.25">
      <c r="B62" s="1053" t="s">
        <v>3632</v>
      </c>
      <c r="C62" s="1054">
        <f t="shared" si="6"/>
        <v>0.17214084709243269</v>
      </c>
      <c r="D62" s="1070">
        <v>506</v>
      </c>
      <c r="E62" s="1068">
        <f t="shared" si="4"/>
        <v>418.89673137122907</v>
      </c>
      <c r="G62" s="1053" t="s">
        <v>3632</v>
      </c>
      <c r="H62" s="1054">
        <f t="shared" si="7"/>
        <v>0.1721413149026354</v>
      </c>
      <c r="I62" s="1070">
        <f t="shared" si="3"/>
        <v>450.65625000000006</v>
      </c>
      <c r="J62" s="1068">
        <f t="shared" si="5"/>
        <v>373.07969055590928</v>
      </c>
    </row>
    <row r="63" spans="1:10" ht="15" x14ac:dyDescent="0.25">
      <c r="B63" s="1053" t="s">
        <v>3633</v>
      </c>
      <c r="C63" s="1054">
        <f t="shared" si="6"/>
        <v>0.19978911007295977</v>
      </c>
      <c r="D63" s="1070">
        <v>247</v>
      </c>
      <c r="E63" s="1068">
        <f t="shared" si="4"/>
        <v>197.65208981197895</v>
      </c>
      <c r="G63" s="1053" t="s">
        <v>3633</v>
      </c>
      <c r="H63" s="1054">
        <f t="shared" si="7"/>
        <v>0.19978957788316248</v>
      </c>
      <c r="I63" s="1070">
        <f t="shared" si="3"/>
        <v>219.98437500000003</v>
      </c>
      <c r="J63" s="1068">
        <f t="shared" si="5"/>
        <v>176.03378957785873</v>
      </c>
    </row>
    <row r="64" spans="1:10" ht="15" x14ac:dyDescent="0.25">
      <c r="B64" s="1053" t="s">
        <v>3634</v>
      </c>
      <c r="C64" s="1054">
        <f>E49</f>
        <v>0.22743737305348682</v>
      </c>
      <c r="D64" s="1070">
        <v>216</v>
      </c>
      <c r="E64" s="1068">
        <f t="shared" si="4"/>
        <v>166.87352742044683</v>
      </c>
      <c r="G64" s="1053" t="s">
        <v>3634</v>
      </c>
      <c r="H64" s="1054">
        <v>0.22739999999999999</v>
      </c>
      <c r="I64" s="1070">
        <f t="shared" si="3"/>
        <v>192.37500000000003</v>
      </c>
      <c r="J64" s="1068">
        <f t="shared" si="5"/>
        <v>148.62892500000001</v>
      </c>
    </row>
    <row r="65" spans="2:10" ht="13.5" thickBot="1" x14ac:dyDescent="0.25">
      <c r="B65" s="326" t="s">
        <v>3640</v>
      </c>
      <c r="C65" s="65"/>
      <c r="D65" s="1071">
        <f>SUM(D53:D64)</f>
        <v>7847</v>
      </c>
      <c r="E65" s="1072">
        <f>SUM(E53:E64)</f>
        <v>7023.0152460440477</v>
      </c>
      <c r="G65" s="326"/>
      <c r="H65" s="65"/>
      <c r="I65" s="1071">
        <f>SUM(I53:I64)</f>
        <v>6988.7343750000009</v>
      </c>
      <c r="J65" s="1072">
        <f>SUM(J53:J64)</f>
        <v>6254.8769637428877</v>
      </c>
    </row>
    <row r="66" spans="2:10" ht="15.75" thickBot="1" x14ac:dyDescent="0.3">
      <c r="B66" s="687" t="s">
        <v>3616</v>
      </c>
      <c r="C66" s="1043"/>
      <c r="D66" s="1043"/>
      <c r="E66" s="1055">
        <f>1-E65/D65</f>
        <v>0.10500634050668434</v>
      </c>
      <c r="G66" s="687" t="s">
        <v>3616</v>
      </c>
      <c r="H66" s="1043"/>
      <c r="I66" s="1043"/>
      <c r="J66" s="1055">
        <f>1-J65/I65</f>
        <v>0.10500576669250117</v>
      </c>
    </row>
    <row r="68" spans="2:10" ht="13.5" thickBot="1" x14ac:dyDescent="0.25"/>
    <row r="69" spans="2:10" ht="42" customHeight="1" x14ac:dyDescent="0.2">
      <c r="B69" s="1083" t="s">
        <v>3644</v>
      </c>
      <c r="C69" s="1075">
        <v>10862</v>
      </c>
      <c r="D69" s="1076">
        <v>9</v>
      </c>
      <c r="E69" s="1066">
        <f>C69/D69</f>
        <v>1206.8888888888889</v>
      </c>
    </row>
    <row r="70" spans="2:10" ht="42" customHeight="1" x14ac:dyDescent="0.2">
      <c r="B70" s="1082" t="s">
        <v>3645</v>
      </c>
      <c r="C70" s="1075">
        <v>4202</v>
      </c>
      <c r="D70" s="1076">
        <v>3.4449999999999998</v>
      </c>
      <c r="E70" s="1066">
        <f>C70/D70</f>
        <v>1219.7387518142236</v>
      </c>
    </row>
    <row r="71" spans="2:10" ht="42" customHeight="1" x14ac:dyDescent="0.2">
      <c r="B71" s="109" t="s">
        <v>3665</v>
      </c>
      <c r="C71" s="1075">
        <v>9233</v>
      </c>
      <c r="D71" s="1076">
        <v>7.28</v>
      </c>
      <c r="E71" s="1066">
        <f>C71/D71</f>
        <v>1268.2692307692307</v>
      </c>
      <c r="H71" t="s">
        <v>3687</v>
      </c>
      <c r="I71" t="s">
        <v>3688</v>
      </c>
    </row>
    <row r="72" spans="2:10" ht="42" customHeight="1" x14ac:dyDescent="0.2">
      <c r="B72" s="109" t="s">
        <v>3702</v>
      </c>
      <c r="C72" s="1075">
        <f>D65</f>
        <v>7847</v>
      </c>
      <c r="D72" s="1076">
        <f>E3</f>
        <v>6.72</v>
      </c>
      <c r="E72" s="1066">
        <f>C72/D72</f>
        <v>1167.7083333333335</v>
      </c>
      <c r="G72" s="1086">
        <v>3000000</v>
      </c>
      <c r="H72">
        <v>4</v>
      </c>
      <c r="I72" s="1087">
        <v>0.05</v>
      </c>
      <c r="J72" s="617">
        <f>G72*POWER((1+I72),H72)</f>
        <v>3646518.75</v>
      </c>
    </row>
    <row r="73" spans="2:10" ht="42" customHeight="1" x14ac:dyDescent="0.2">
      <c r="B73" s="109"/>
      <c r="C73" s="47"/>
      <c r="D73" s="1050"/>
      <c r="E73" s="56"/>
    </row>
    <row r="74" spans="2:10" ht="42" customHeight="1" x14ac:dyDescent="0.2">
      <c r="B74" s="109"/>
      <c r="C74" s="47"/>
      <c r="D74" s="1050"/>
      <c r="E74" s="56"/>
    </row>
    <row r="75" spans="2:10" ht="42" customHeight="1" thickBot="1" x14ac:dyDescent="0.25">
      <c r="B75" s="110"/>
      <c r="C75" s="65"/>
      <c r="D75" s="747"/>
      <c r="E75" s="747"/>
    </row>
    <row r="76" spans="2:10" x14ac:dyDescent="0.2">
      <c r="B76" t="s">
        <v>3681</v>
      </c>
      <c r="E76" s="1066">
        <f>SUM(E69:E75)/COUNT(E69:E75)</f>
        <v>1215.6513012014193</v>
      </c>
    </row>
    <row r="84" spans="3:9" ht="13.5" thickBot="1" x14ac:dyDescent="0.25"/>
    <row r="85" spans="3:9" x14ac:dyDescent="0.2">
      <c r="C85" s="86" t="s">
        <v>3695</v>
      </c>
    </row>
    <row r="86" spans="3:9" x14ac:dyDescent="0.2">
      <c r="C86" s="87">
        <v>50.55</v>
      </c>
      <c r="E86">
        <v>376</v>
      </c>
      <c r="F86">
        <v>16</v>
      </c>
    </row>
    <row r="87" spans="3:9" x14ac:dyDescent="0.2">
      <c r="C87" s="87">
        <v>28.43</v>
      </c>
      <c r="E87">
        <v>302</v>
      </c>
      <c r="F87">
        <v>9</v>
      </c>
    </row>
    <row r="88" spans="3:9" ht="13.5" thickBot="1" x14ac:dyDescent="0.25">
      <c r="C88" s="1103">
        <f>SQRT(C86*C86+C87*C87)</f>
        <v>57.996270569753015</v>
      </c>
      <c r="E88">
        <f>E86/E87</f>
        <v>1.2450331125827814</v>
      </c>
      <c r="F88">
        <f>F86/F87</f>
        <v>1.7777777777777777</v>
      </c>
      <c r="G88">
        <f>F86/I91</f>
        <v>50.551381153223858</v>
      </c>
    </row>
    <row r="89" spans="3:9" x14ac:dyDescent="0.2">
      <c r="G89">
        <f>F87/I91</f>
        <v>28.435151898688421</v>
      </c>
    </row>
    <row r="90" spans="3:9" x14ac:dyDescent="0.2">
      <c r="G90">
        <f>F86*F86+F87*F87</f>
        <v>337</v>
      </c>
    </row>
    <row r="91" spans="3:9" x14ac:dyDescent="0.2">
      <c r="G91">
        <f>SQRT(G90)</f>
        <v>18.357559750685819</v>
      </c>
      <c r="H91">
        <v>58</v>
      </c>
      <c r="I91">
        <f>G91/H91</f>
        <v>0.31650965087389343</v>
      </c>
    </row>
  </sheetData>
  <hyperlinks>
    <hyperlink ref="G8" r:id="rId1" xr:uid="{00000000-0004-0000-0500-000000000000}"/>
    <hyperlink ref="G9" r:id="rId2" xr:uid="{00000000-0004-0000-0500-000001000000}"/>
    <hyperlink ref="B70" r:id="rId3" location="/dashboard" xr:uid="{00000000-0004-0000-0500-000002000000}"/>
    <hyperlink ref="B69" r:id="rId4" location="/dashboard" xr:uid="{00000000-0004-0000-0500-000003000000}"/>
  </hyperlinks>
  <pageMargins left="0.7" right="0.7" top="0.75" bottom="0.75" header="0.3" footer="0.3"/>
  <pageSetup paperSize="9" orientation="portrait"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Munka47"/>
  <dimension ref="A1:N53"/>
  <sheetViews>
    <sheetView zoomScale="55" zoomScaleNormal="55" workbookViewId="0">
      <selection activeCell="L12" sqref="L12"/>
    </sheetView>
  </sheetViews>
  <sheetFormatPr defaultRowHeight="12.75" x14ac:dyDescent="0.2"/>
  <cols>
    <col min="1" max="1" width="48" bestFit="1" customWidth="1"/>
    <col min="2" max="2" width="11.28515625" customWidth="1"/>
    <col min="3" max="3" width="11.85546875" customWidth="1"/>
    <col min="4" max="4" width="15.7109375" customWidth="1"/>
    <col min="9" max="9" width="11" bestFit="1" customWidth="1"/>
    <col min="10" max="12" width="10" bestFit="1" customWidth="1"/>
    <col min="13" max="13" width="9" bestFit="1" customWidth="1"/>
    <col min="14" max="14" width="11" bestFit="1" customWidth="1"/>
  </cols>
  <sheetData>
    <row r="1" spans="1:14" x14ac:dyDescent="0.2">
      <c r="A1" t="s">
        <v>3654</v>
      </c>
      <c r="B1">
        <v>1</v>
      </c>
      <c r="C1" s="981">
        <v>469647</v>
      </c>
      <c r="D1" s="981">
        <f>B1*C1</f>
        <v>469647</v>
      </c>
    </row>
    <row r="2" spans="1:14" x14ac:dyDescent="0.2">
      <c r="A2" t="s">
        <v>3655</v>
      </c>
      <c r="B2">
        <v>25</v>
      </c>
      <c r="C2" s="981">
        <v>15626</v>
      </c>
      <c r="D2" s="981">
        <f t="shared" ref="D2:D8" si="0">B2*C2</f>
        <v>390650</v>
      </c>
    </row>
    <row r="3" spans="1:14" x14ac:dyDescent="0.2">
      <c r="A3" t="s">
        <v>3656</v>
      </c>
      <c r="B3">
        <v>25</v>
      </c>
      <c r="C3" s="981">
        <v>59383</v>
      </c>
      <c r="D3" s="981">
        <f t="shared" si="0"/>
        <v>1484575</v>
      </c>
      <c r="F3">
        <v>280</v>
      </c>
      <c r="G3">
        <f>B2*F3</f>
        <v>7000</v>
      </c>
    </row>
    <row r="4" spans="1:14" x14ac:dyDescent="0.2">
      <c r="A4" t="s">
        <v>3657</v>
      </c>
      <c r="B4">
        <v>1</v>
      </c>
      <c r="C4" s="981">
        <v>29970</v>
      </c>
      <c r="D4" s="981">
        <f t="shared" si="0"/>
        <v>29970</v>
      </c>
    </row>
    <row r="5" spans="1:14" x14ac:dyDescent="0.2">
      <c r="A5" t="s">
        <v>3658</v>
      </c>
      <c r="B5">
        <v>1</v>
      </c>
      <c r="C5" s="981">
        <v>54227</v>
      </c>
      <c r="D5" s="981">
        <f t="shared" si="0"/>
        <v>54227</v>
      </c>
    </row>
    <row r="6" spans="1:14" x14ac:dyDescent="0.2">
      <c r="A6" t="s">
        <v>3659</v>
      </c>
      <c r="B6">
        <v>40</v>
      </c>
      <c r="C6">
        <v>270</v>
      </c>
      <c r="D6" s="981">
        <f t="shared" si="0"/>
        <v>10800</v>
      </c>
    </row>
    <row r="7" spans="1:14" x14ac:dyDescent="0.2">
      <c r="A7" t="s">
        <v>3660</v>
      </c>
      <c r="B7">
        <v>25</v>
      </c>
      <c r="C7" s="981">
        <v>11000</v>
      </c>
      <c r="D7" s="981">
        <f t="shared" si="0"/>
        <v>275000</v>
      </c>
    </row>
    <row r="8" spans="1:14" x14ac:dyDescent="0.2">
      <c r="A8" t="s">
        <v>3661</v>
      </c>
      <c r="B8">
        <v>1</v>
      </c>
      <c r="C8" s="981">
        <v>63500</v>
      </c>
      <c r="D8" s="981">
        <f t="shared" si="0"/>
        <v>63500</v>
      </c>
      <c r="J8" t="s">
        <v>3423</v>
      </c>
      <c r="K8" t="s">
        <v>3424</v>
      </c>
      <c r="L8" t="s">
        <v>3677</v>
      </c>
    </row>
    <row r="9" spans="1:14" x14ac:dyDescent="0.2">
      <c r="A9" s="981"/>
      <c r="B9" s="981"/>
      <c r="D9" s="981">
        <f>SUM(D1:D8)</f>
        <v>2778369</v>
      </c>
      <c r="I9" s="1086">
        <v>324685</v>
      </c>
      <c r="J9" s="1086">
        <v>5000</v>
      </c>
      <c r="K9" s="1086">
        <v>5000</v>
      </c>
      <c r="L9" s="1086">
        <v>5000</v>
      </c>
      <c r="M9" s="1086">
        <f>L9*0.3</f>
        <v>1500</v>
      </c>
      <c r="N9" s="1086">
        <f>SUM(I9:L9)</f>
        <v>339685</v>
      </c>
    </row>
    <row r="10" spans="1:14" x14ac:dyDescent="0.2">
      <c r="A10" s="981"/>
      <c r="B10" s="981"/>
      <c r="D10" s="981"/>
      <c r="I10" s="1086">
        <v>336898</v>
      </c>
      <c r="J10" s="1086">
        <v>5000</v>
      </c>
      <c r="K10" s="1086">
        <v>5000</v>
      </c>
      <c r="L10" s="1086">
        <v>5000</v>
      </c>
      <c r="M10" s="1086">
        <f>L10*0.3</f>
        <v>1500</v>
      </c>
      <c r="N10" s="1086">
        <f>SUM(I10:L10)</f>
        <v>351898</v>
      </c>
    </row>
    <row r="11" spans="1:14" x14ac:dyDescent="0.2">
      <c r="I11" s="1086">
        <v>671885</v>
      </c>
      <c r="J11" s="1086">
        <v>10000</v>
      </c>
      <c r="K11" s="1086">
        <v>10000</v>
      </c>
      <c r="L11" s="1086">
        <v>10000</v>
      </c>
      <c r="M11" s="1086">
        <f>L11*0.3</f>
        <v>3000</v>
      </c>
      <c r="N11" s="1086">
        <f>SUM(I11:L11)</f>
        <v>701885</v>
      </c>
    </row>
    <row r="12" spans="1:14" x14ac:dyDescent="0.2">
      <c r="A12" t="s">
        <v>3662</v>
      </c>
      <c r="B12">
        <v>1</v>
      </c>
      <c r="C12" s="981">
        <v>536760</v>
      </c>
      <c r="D12" s="981">
        <f t="shared" ref="D12:D17" si="1">B12*C12</f>
        <v>536760</v>
      </c>
      <c r="I12" s="1086">
        <v>658704</v>
      </c>
      <c r="J12" s="1086">
        <v>10000</v>
      </c>
      <c r="K12" s="1086">
        <v>10000</v>
      </c>
      <c r="L12" s="1086">
        <v>10000</v>
      </c>
      <c r="M12" s="1086">
        <f>L12*0.3</f>
        <v>3000</v>
      </c>
      <c r="N12" s="1086">
        <f>SUM(I12:M12)</f>
        <v>691704</v>
      </c>
    </row>
    <row r="13" spans="1:14" x14ac:dyDescent="0.2">
      <c r="A13" t="s">
        <v>3663</v>
      </c>
      <c r="B13">
        <v>25</v>
      </c>
      <c r="C13" s="981">
        <v>78713</v>
      </c>
      <c r="D13" s="981">
        <f t="shared" si="1"/>
        <v>1967825</v>
      </c>
      <c r="F13">
        <v>290</v>
      </c>
      <c r="G13">
        <f>B13*F13</f>
        <v>7250</v>
      </c>
    </row>
    <row r="14" spans="1:14" x14ac:dyDescent="0.2">
      <c r="A14" t="s">
        <v>3664</v>
      </c>
      <c r="B14">
        <v>1</v>
      </c>
      <c r="C14" s="981">
        <v>55584</v>
      </c>
      <c r="D14" s="981">
        <f t="shared" si="1"/>
        <v>55584</v>
      </c>
    </row>
    <row r="15" spans="1:14" x14ac:dyDescent="0.2">
      <c r="A15" t="s">
        <v>3658</v>
      </c>
      <c r="B15">
        <v>1</v>
      </c>
      <c r="C15" s="981">
        <v>54227</v>
      </c>
      <c r="D15" s="981">
        <f t="shared" si="1"/>
        <v>54227</v>
      </c>
    </row>
    <row r="16" spans="1:14" x14ac:dyDescent="0.2">
      <c r="A16" t="s">
        <v>3659</v>
      </c>
      <c r="B16">
        <v>40</v>
      </c>
      <c r="C16">
        <v>270</v>
      </c>
      <c r="D16" s="981">
        <f t="shared" si="1"/>
        <v>10800</v>
      </c>
    </row>
    <row r="17" spans="1:4" x14ac:dyDescent="0.2">
      <c r="A17" t="s">
        <v>3660</v>
      </c>
      <c r="B17">
        <v>25</v>
      </c>
      <c r="C17" s="981">
        <v>11000</v>
      </c>
      <c r="D17" s="981">
        <f t="shared" si="1"/>
        <v>275000</v>
      </c>
    </row>
    <row r="18" spans="1:4" x14ac:dyDescent="0.2">
      <c r="A18" t="s">
        <v>3661</v>
      </c>
      <c r="B18">
        <v>1</v>
      </c>
      <c r="C18" s="981">
        <v>63500</v>
      </c>
      <c r="D18" s="981">
        <f>B18*C18</f>
        <v>63500</v>
      </c>
    </row>
    <row r="19" spans="1:4" x14ac:dyDescent="0.2">
      <c r="D19" s="981">
        <f>SUM(D12:D18)</f>
        <v>2963696</v>
      </c>
    </row>
    <row r="22" spans="1:4" x14ac:dyDescent="0.2">
      <c r="A22" t="s">
        <v>3666</v>
      </c>
      <c r="B22">
        <v>23</v>
      </c>
      <c r="C22" s="981">
        <v>5183</v>
      </c>
      <c r="D22" s="981">
        <f t="shared" ref="D22:D32" si="2">B22*C22</f>
        <v>119209</v>
      </c>
    </row>
    <row r="23" spans="1:4" x14ac:dyDescent="0.2">
      <c r="A23" t="s">
        <v>3667</v>
      </c>
      <c r="B23">
        <v>18</v>
      </c>
      <c r="C23" s="981">
        <v>6658</v>
      </c>
      <c r="D23" s="981">
        <f t="shared" si="2"/>
        <v>119844</v>
      </c>
    </row>
    <row r="24" spans="1:4" x14ac:dyDescent="0.2">
      <c r="A24" t="s">
        <v>3668</v>
      </c>
      <c r="B24" s="981">
        <v>95</v>
      </c>
      <c r="C24">
        <v>1996</v>
      </c>
      <c r="D24" s="981">
        <f t="shared" si="2"/>
        <v>189620</v>
      </c>
    </row>
    <row r="25" spans="1:4" x14ac:dyDescent="0.2">
      <c r="A25" t="s">
        <v>3669</v>
      </c>
      <c r="B25">
        <v>95</v>
      </c>
      <c r="C25">
        <v>132</v>
      </c>
      <c r="D25" s="981">
        <f t="shared" si="2"/>
        <v>12540</v>
      </c>
    </row>
    <row r="26" spans="1:4" x14ac:dyDescent="0.2">
      <c r="A26" t="s">
        <v>3670</v>
      </c>
      <c r="B26">
        <v>95</v>
      </c>
      <c r="C26">
        <v>51</v>
      </c>
      <c r="D26" s="981">
        <f t="shared" si="2"/>
        <v>4845</v>
      </c>
    </row>
    <row r="27" spans="1:4" x14ac:dyDescent="0.2">
      <c r="A27" t="s">
        <v>3671</v>
      </c>
      <c r="B27">
        <v>78</v>
      </c>
      <c r="C27">
        <v>265</v>
      </c>
      <c r="D27" s="981">
        <f t="shared" si="2"/>
        <v>20670</v>
      </c>
    </row>
    <row r="28" spans="1:4" x14ac:dyDescent="0.2">
      <c r="A28" t="s">
        <v>3672</v>
      </c>
      <c r="B28">
        <v>11</v>
      </c>
      <c r="C28" s="981">
        <v>1107</v>
      </c>
      <c r="D28" s="981">
        <f t="shared" si="2"/>
        <v>12177</v>
      </c>
    </row>
    <row r="29" spans="1:4" x14ac:dyDescent="0.2">
      <c r="A29" t="s">
        <v>3673</v>
      </c>
      <c r="B29">
        <v>6</v>
      </c>
      <c r="C29" s="981">
        <v>1434</v>
      </c>
      <c r="D29" s="981">
        <f t="shared" si="2"/>
        <v>8604</v>
      </c>
    </row>
    <row r="30" spans="1:4" x14ac:dyDescent="0.2">
      <c r="A30" t="s">
        <v>3674</v>
      </c>
      <c r="B30">
        <v>190</v>
      </c>
      <c r="C30">
        <v>65</v>
      </c>
      <c r="D30" s="981">
        <f t="shared" si="2"/>
        <v>12350</v>
      </c>
    </row>
    <row r="31" spans="1:4" x14ac:dyDescent="0.2">
      <c r="A31" t="s">
        <v>3675</v>
      </c>
      <c r="B31">
        <v>32</v>
      </c>
      <c r="C31">
        <v>521</v>
      </c>
      <c r="D31" s="981">
        <f t="shared" si="2"/>
        <v>16672</v>
      </c>
    </row>
    <row r="32" spans="1:4" x14ac:dyDescent="0.2">
      <c r="A32" t="s">
        <v>3676</v>
      </c>
      <c r="B32">
        <v>36</v>
      </c>
      <c r="C32">
        <v>521</v>
      </c>
      <c r="D32" s="981">
        <f t="shared" si="2"/>
        <v>18756</v>
      </c>
    </row>
    <row r="33" spans="1:4" x14ac:dyDescent="0.2">
      <c r="D33" s="981">
        <f>SUM(D22:D32)</f>
        <v>535287</v>
      </c>
    </row>
    <row r="36" spans="1:4" x14ac:dyDescent="0.2">
      <c r="A36" t="s">
        <v>3666</v>
      </c>
      <c r="B36">
        <v>17</v>
      </c>
      <c r="C36" s="981">
        <v>5183</v>
      </c>
      <c r="D36" s="981">
        <f t="shared" ref="D36:D46" si="3">B36*C36</f>
        <v>88111</v>
      </c>
    </row>
    <row r="37" spans="1:4" x14ac:dyDescent="0.2">
      <c r="A37" t="s">
        <v>3667</v>
      </c>
      <c r="B37">
        <v>0</v>
      </c>
      <c r="C37" s="981">
        <v>6658</v>
      </c>
      <c r="D37" s="981">
        <f t="shared" si="3"/>
        <v>0</v>
      </c>
    </row>
    <row r="38" spans="1:4" x14ac:dyDescent="0.2">
      <c r="A38" t="s">
        <v>3668</v>
      </c>
      <c r="B38" s="981">
        <v>53</v>
      </c>
      <c r="C38">
        <v>2306</v>
      </c>
      <c r="D38" s="981">
        <f t="shared" si="3"/>
        <v>122218</v>
      </c>
    </row>
    <row r="39" spans="1:4" x14ac:dyDescent="0.2">
      <c r="A39" t="s">
        <v>3669</v>
      </c>
      <c r="B39">
        <v>53</v>
      </c>
      <c r="C39">
        <v>132</v>
      </c>
      <c r="D39" s="981">
        <f t="shared" si="3"/>
        <v>6996</v>
      </c>
    </row>
    <row r="40" spans="1:4" x14ac:dyDescent="0.2">
      <c r="A40" t="s">
        <v>3670</v>
      </c>
      <c r="B40">
        <v>53</v>
      </c>
      <c r="C40">
        <v>51</v>
      </c>
      <c r="D40" s="981">
        <f t="shared" si="3"/>
        <v>2703</v>
      </c>
    </row>
    <row r="41" spans="1:4" x14ac:dyDescent="0.2">
      <c r="A41" t="s">
        <v>3671</v>
      </c>
      <c r="B41">
        <v>78</v>
      </c>
      <c r="C41">
        <v>265</v>
      </c>
      <c r="D41" s="981">
        <f t="shared" si="3"/>
        <v>20670</v>
      </c>
    </row>
    <row r="42" spans="1:4" x14ac:dyDescent="0.2">
      <c r="A42" t="s">
        <v>3672</v>
      </c>
      <c r="B42">
        <v>11</v>
      </c>
      <c r="C42" s="981">
        <v>1107</v>
      </c>
      <c r="D42" s="981">
        <f t="shared" si="3"/>
        <v>12177</v>
      </c>
    </row>
    <row r="43" spans="1:4" x14ac:dyDescent="0.2">
      <c r="A43" t="s">
        <v>3673</v>
      </c>
      <c r="B43">
        <v>6</v>
      </c>
      <c r="C43" s="981">
        <v>1434</v>
      </c>
      <c r="D43" s="981">
        <f t="shared" si="3"/>
        <v>8604</v>
      </c>
    </row>
    <row r="44" spans="1:4" x14ac:dyDescent="0.2">
      <c r="A44" t="s">
        <v>3674</v>
      </c>
      <c r="B44">
        <v>106</v>
      </c>
      <c r="C44">
        <v>65</v>
      </c>
      <c r="D44" s="981">
        <f t="shared" si="3"/>
        <v>6890</v>
      </c>
    </row>
    <row r="45" spans="1:4" x14ac:dyDescent="0.2">
      <c r="A45" t="s">
        <v>3675</v>
      </c>
      <c r="B45">
        <v>32</v>
      </c>
      <c r="C45">
        <v>521</v>
      </c>
      <c r="D45" s="981">
        <f t="shared" si="3"/>
        <v>16672</v>
      </c>
    </row>
    <row r="46" spans="1:4" x14ac:dyDescent="0.2">
      <c r="A46" t="s">
        <v>3676</v>
      </c>
      <c r="B46">
        <v>36</v>
      </c>
      <c r="C46">
        <v>521</v>
      </c>
      <c r="D46" s="981">
        <f t="shared" si="3"/>
        <v>18756</v>
      </c>
    </row>
    <row r="47" spans="1:4" x14ac:dyDescent="0.2">
      <c r="D47" s="981">
        <f>SUM(D36:D46)</f>
        <v>303797</v>
      </c>
    </row>
    <row r="51" spans="3:4" x14ac:dyDescent="0.2">
      <c r="D51" s="1086">
        <v>3081129</v>
      </c>
    </row>
    <row r="52" spans="3:4" x14ac:dyDescent="0.2">
      <c r="C52">
        <v>262500</v>
      </c>
      <c r="D52" s="1096">
        <f>D51-C52</f>
        <v>2818629</v>
      </c>
    </row>
    <row r="53" spans="3:4" x14ac:dyDescent="0.2">
      <c r="D53" s="1096">
        <f>D52+D33</f>
        <v>3353916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Munka48">
    <tabColor rgb="FFFF0000"/>
  </sheetPr>
  <dimension ref="B2:U202"/>
  <sheetViews>
    <sheetView tabSelected="1" zoomScaleNormal="100" workbookViewId="0">
      <pane xSplit="16" ySplit="2" topLeftCell="Q3" activePane="bottomRight" state="frozen"/>
      <selection pane="topRight" activeCell="N1" sqref="N1"/>
      <selection pane="bottomLeft" activeCell="A3" sqref="A3"/>
      <selection pane="bottomRight" activeCell="F3" sqref="F3"/>
    </sheetView>
  </sheetViews>
  <sheetFormatPr defaultRowHeight="12.75" x14ac:dyDescent="0.2"/>
  <cols>
    <col min="1" max="1" width="1.28515625" customWidth="1"/>
    <col min="2" max="2" width="10.28515625" style="66" customWidth="1"/>
    <col min="3" max="3" width="10.140625" bestFit="1" customWidth="1"/>
    <col min="4" max="4" width="13.42578125" customWidth="1"/>
    <col min="5" max="5" width="16.28515625" style="1" customWidth="1"/>
    <col min="6" max="6" width="10.42578125" style="1" customWidth="1"/>
    <col min="7" max="7" width="14.42578125" style="1095" customWidth="1"/>
    <col min="8" max="8" width="15" style="1084" customWidth="1"/>
    <col min="9" max="9" width="10.42578125" style="1085" customWidth="1"/>
    <col min="10" max="10" width="12" style="1098" customWidth="1"/>
    <col min="11" max="11" width="13.85546875" style="1084" customWidth="1"/>
    <col min="12" max="12" width="5.5703125" style="1078" bestFit="1" customWidth="1"/>
    <col min="13" max="13" width="9.85546875" style="1" bestFit="1" customWidth="1"/>
    <col min="14" max="14" width="9.5703125" style="1" bestFit="1" customWidth="1"/>
    <col min="15" max="15" width="11.42578125" style="1" bestFit="1" customWidth="1"/>
    <col min="16" max="16" width="8.5703125" style="1" bestFit="1" customWidth="1"/>
    <col min="17" max="17" width="4.140625" style="1" bestFit="1" customWidth="1"/>
    <col min="18" max="18" width="4.140625" style="1" customWidth="1"/>
    <col min="19" max="19" width="7.5703125" style="1" customWidth="1"/>
    <col min="20" max="20" width="5.5703125" style="1" bestFit="1" customWidth="1"/>
    <col min="21" max="21" width="4" style="1088" bestFit="1" customWidth="1"/>
  </cols>
  <sheetData>
    <row r="2" spans="2:21" s="1089" customFormat="1" ht="51.75" customHeight="1" x14ac:dyDescent="0.2">
      <c r="D2" s="1089" t="s">
        <v>3701</v>
      </c>
      <c r="E2" s="1089" t="s">
        <v>3608</v>
      </c>
      <c r="F2" s="1089" t="s">
        <v>3609</v>
      </c>
      <c r="G2" s="1094" t="s">
        <v>3686</v>
      </c>
      <c r="H2" s="1090" t="s">
        <v>3684</v>
      </c>
      <c r="I2" s="1091" t="s">
        <v>3685</v>
      </c>
      <c r="J2" s="1097" t="s">
        <v>3689</v>
      </c>
      <c r="K2" s="1090" t="s">
        <v>3690</v>
      </c>
      <c r="L2" s="1092" t="s">
        <v>3609</v>
      </c>
      <c r="M2" s="1089" t="s">
        <v>3646</v>
      </c>
      <c r="N2" s="1089" t="s">
        <v>3647</v>
      </c>
      <c r="O2" s="1089" t="s">
        <v>1119</v>
      </c>
      <c r="P2" s="1089" t="s">
        <v>3648</v>
      </c>
      <c r="U2" s="1093"/>
    </row>
    <row r="3" spans="2:21" x14ac:dyDescent="0.2">
      <c r="B3" s="66" t="s">
        <v>3632</v>
      </c>
      <c r="C3">
        <f>G21-G3</f>
        <v>343</v>
      </c>
      <c r="E3" s="1033">
        <v>43022</v>
      </c>
      <c r="F3" s="1034">
        <v>0.78194444444444444</v>
      </c>
      <c r="G3" s="1095">
        <v>18413</v>
      </c>
      <c r="M3" s="1">
        <v>21.5</v>
      </c>
      <c r="N3" s="1">
        <v>32</v>
      </c>
      <c r="O3" s="1" t="s">
        <v>3650</v>
      </c>
      <c r="P3" s="1" t="s">
        <v>3649</v>
      </c>
    </row>
    <row r="4" spans="2:21" x14ac:dyDescent="0.2">
      <c r="E4" s="1033">
        <v>43023</v>
      </c>
      <c r="F4" s="1034"/>
    </row>
    <row r="5" spans="2:21" x14ac:dyDescent="0.2">
      <c r="E5" s="1033">
        <v>43024</v>
      </c>
      <c r="F5" s="1033"/>
    </row>
    <row r="6" spans="2:21" x14ac:dyDescent="0.2">
      <c r="E6" s="1033">
        <v>43025</v>
      </c>
      <c r="F6" s="1033"/>
    </row>
    <row r="7" spans="2:21" x14ac:dyDescent="0.2">
      <c r="E7" s="1033">
        <v>43026</v>
      </c>
      <c r="F7" s="1033"/>
    </row>
    <row r="8" spans="2:21" x14ac:dyDescent="0.2">
      <c r="E8" s="1033">
        <v>43027</v>
      </c>
      <c r="F8" s="1033"/>
    </row>
    <row r="9" spans="2:21" x14ac:dyDescent="0.2">
      <c r="E9" s="1033">
        <v>43028</v>
      </c>
      <c r="F9" s="1033"/>
    </row>
    <row r="10" spans="2:21" x14ac:dyDescent="0.2">
      <c r="E10" s="1033">
        <v>43029</v>
      </c>
      <c r="F10" s="1033"/>
    </row>
    <row r="11" spans="2:21" x14ac:dyDescent="0.2">
      <c r="E11" s="1033">
        <v>43030</v>
      </c>
      <c r="F11" s="1033"/>
    </row>
    <row r="12" spans="2:21" x14ac:dyDescent="0.2">
      <c r="E12" s="1033">
        <v>43031</v>
      </c>
      <c r="F12" s="1033"/>
    </row>
    <row r="13" spans="2:21" x14ac:dyDescent="0.2">
      <c r="E13" s="1033">
        <v>43032</v>
      </c>
      <c r="F13" s="1033"/>
    </row>
    <row r="14" spans="2:21" x14ac:dyDescent="0.2">
      <c r="D14" s="1118">
        <f>G14-$G$3</f>
        <v>169</v>
      </c>
      <c r="E14" s="1033">
        <v>43033</v>
      </c>
      <c r="F14" s="1034">
        <v>0.33611111111111108</v>
      </c>
      <c r="G14" s="1095">
        <v>18582</v>
      </c>
    </row>
    <row r="15" spans="2:21" x14ac:dyDescent="0.2">
      <c r="D15" s="1118">
        <f>G15-$G$3</f>
        <v>-18413</v>
      </c>
      <c r="E15" s="1033">
        <v>43034</v>
      </c>
      <c r="F15" s="1033"/>
    </row>
    <row r="16" spans="2:21" x14ac:dyDescent="0.2">
      <c r="D16" s="1118">
        <f t="shared" ref="D16:D79" si="0">G16-$G$3</f>
        <v>214</v>
      </c>
      <c r="E16" s="1033">
        <v>43035</v>
      </c>
      <c r="F16" s="1034">
        <v>0.71666666666666667</v>
      </c>
      <c r="G16" s="1095">
        <v>18627</v>
      </c>
      <c r="H16" s="1084">
        <f>(G16-G14)/2</f>
        <v>22.5</v>
      </c>
      <c r="I16" s="1085">
        <f>H16/((E16-E15)*24+(F16-F15))*1000</f>
        <v>910.3169251517196</v>
      </c>
    </row>
    <row r="17" spans="2:21" x14ac:dyDescent="0.2">
      <c r="D17" s="1118">
        <f t="shared" si="0"/>
        <v>-18413</v>
      </c>
      <c r="E17" s="1033">
        <v>43036</v>
      </c>
      <c r="F17" s="1033"/>
    </row>
    <row r="18" spans="2:21" x14ac:dyDescent="0.2">
      <c r="D18" s="1118">
        <f t="shared" si="0"/>
        <v>-18413</v>
      </c>
      <c r="E18" s="1033">
        <v>43037</v>
      </c>
      <c r="F18" s="1033"/>
    </row>
    <row r="19" spans="2:21" x14ac:dyDescent="0.2">
      <c r="D19" s="1118">
        <f t="shared" si="0"/>
        <v>282</v>
      </c>
      <c r="E19" s="1033">
        <v>43038</v>
      </c>
      <c r="F19" s="1034">
        <v>0.40763888888888888</v>
      </c>
      <c r="G19" s="1095">
        <v>18695</v>
      </c>
      <c r="H19" s="1084">
        <f>(G19-G16)/3</f>
        <v>22.666666666666668</v>
      </c>
      <c r="I19" s="1085">
        <f t="shared" ref="I19:I28" si="1">H19/((E19-E18)*24+(F19-F18))*1000</f>
        <v>928.67101032805078</v>
      </c>
    </row>
    <row r="20" spans="2:21" ht="13.5" thickBot="1" x14ac:dyDescent="0.25">
      <c r="D20" s="1118">
        <f t="shared" si="0"/>
        <v>307</v>
      </c>
      <c r="E20" s="1033">
        <v>43039</v>
      </c>
      <c r="F20" s="1034">
        <v>0.62986111111111109</v>
      </c>
      <c r="G20" s="1095">
        <v>18720</v>
      </c>
      <c r="H20" s="1084">
        <f>G20-G19</f>
        <v>25</v>
      </c>
      <c r="I20" s="1085">
        <f t="shared" si="1"/>
        <v>1032.1100917431195</v>
      </c>
    </row>
    <row r="21" spans="2:21" ht="13.5" thickBot="1" x14ac:dyDescent="0.25">
      <c r="B21" s="1101" t="s">
        <v>3633</v>
      </c>
      <c r="C21" s="1102">
        <f>G51-G21</f>
        <v>949</v>
      </c>
      <c r="D21" s="1118">
        <f t="shared" si="0"/>
        <v>343</v>
      </c>
      <c r="E21" s="1033">
        <v>43040</v>
      </c>
      <c r="F21" s="1034">
        <v>0.65486111111111112</v>
      </c>
      <c r="G21" s="1095">
        <v>18756</v>
      </c>
      <c r="H21" s="1084">
        <f t="shared" ref="H21:H33" si="2">G21-G20</f>
        <v>36</v>
      </c>
      <c r="I21" s="1085">
        <f t="shared" si="1"/>
        <v>1498.4391259105098</v>
      </c>
    </row>
    <row r="22" spans="2:21" x14ac:dyDescent="0.2">
      <c r="B22" s="1053" t="s">
        <v>3693</v>
      </c>
      <c r="C22" s="1068">
        <f>MIN(H21:H50)</f>
        <v>18</v>
      </c>
      <c r="D22" s="1118">
        <f t="shared" si="0"/>
        <v>367</v>
      </c>
      <c r="E22" s="1033">
        <v>43041</v>
      </c>
      <c r="F22" s="1034">
        <v>0.6430555555555556</v>
      </c>
      <c r="G22" s="1095">
        <v>18780</v>
      </c>
      <c r="H22" s="1084">
        <f t="shared" si="2"/>
        <v>24</v>
      </c>
      <c r="I22" s="1085">
        <f t="shared" si="1"/>
        <v>1000.4921402310163</v>
      </c>
    </row>
    <row r="23" spans="2:21" x14ac:dyDescent="0.2">
      <c r="B23" s="1053" t="s">
        <v>3692</v>
      </c>
      <c r="C23" s="1068">
        <f>MAX(H21:H50)</f>
        <v>53</v>
      </c>
      <c r="D23" s="1118">
        <f t="shared" si="0"/>
        <v>387</v>
      </c>
      <c r="E23" s="1033">
        <v>43042</v>
      </c>
      <c r="F23" s="1034">
        <v>0.6333333333333333</v>
      </c>
      <c r="G23" s="1095">
        <v>18800</v>
      </c>
      <c r="H23" s="1084">
        <f t="shared" si="2"/>
        <v>20</v>
      </c>
      <c r="I23" s="1085">
        <f t="shared" si="1"/>
        <v>833.67104729925325</v>
      </c>
    </row>
    <row r="24" spans="2:21" ht="13.5" thickBot="1" x14ac:dyDescent="0.25">
      <c r="B24" s="1099" t="s">
        <v>3694</v>
      </c>
      <c r="C24" s="1100">
        <f>C21/COUNT(E21:E50)</f>
        <v>31.633333333333333</v>
      </c>
      <c r="D24" s="1118">
        <f t="shared" si="0"/>
        <v>419</v>
      </c>
      <c r="E24" s="1033">
        <v>43043</v>
      </c>
      <c r="F24" s="1034">
        <v>0.65138888888888891</v>
      </c>
      <c r="G24" s="1095">
        <v>18832</v>
      </c>
      <c r="H24" s="1084">
        <f t="shared" si="2"/>
        <v>32</v>
      </c>
      <c r="I24" s="1085">
        <f t="shared" si="1"/>
        <v>1332.3310009830566</v>
      </c>
    </row>
    <row r="25" spans="2:21" x14ac:dyDescent="0.2">
      <c r="D25" s="1118">
        <f t="shared" si="0"/>
        <v>444</v>
      </c>
      <c r="E25" s="1033">
        <v>43044</v>
      </c>
      <c r="F25" s="1034">
        <v>0.7006944444444444</v>
      </c>
      <c r="G25" s="1095">
        <v>18857</v>
      </c>
      <c r="H25" s="1084">
        <f t="shared" si="2"/>
        <v>25</v>
      </c>
      <c r="I25" s="1085">
        <f t="shared" si="1"/>
        <v>1039.5310559902978</v>
      </c>
    </row>
    <row r="26" spans="2:21" x14ac:dyDescent="0.2">
      <c r="D26" s="1118">
        <f t="shared" si="0"/>
        <v>467</v>
      </c>
      <c r="E26" s="1033">
        <v>43045</v>
      </c>
      <c r="F26" s="1034">
        <v>0.6479166666666667</v>
      </c>
      <c r="G26" s="1095">
        <v>18880</v>
      </c>
      <c r="H26" s="1084">
        <f t="shared" si="2"/>
        <v>23</v>
      </c>
      <c r="I26" s="1085">
        <f t="shared" si="1"/>
        <v>960.44542396473719</v>
      </c>
      <c r="R26" s="1" t="s">
        <v>1728</v>
      </c>
      <c r="S26" s="1" t="s">
        <v>3683</v>
      </c>
    </row>
    <row r="27" spans="2:21" x14ac:dyDescent="0.2">
      <c r="D27" s="1118">
        <f t="shared" si="0"/>
        <v>491</v>
      </c>
      <c r="E27" s="1033">
        <v>43046</v>
      </c>
      <c r="F27" s="1034">
        <v>0.67708333333333337</v>
      </c>
      <c r="G27" s="1095">
        <v>18904</v>
      </c>
      <c r="H27" s="1084">
        <f t="shared" si="2"/>
        <v>24</v>
      </c>
      <c r="I27" s="1085">
        <f t="shared" si="1"/>
        <v>998.78619732963409</v>
      </c>
      <c r="Q27" s="1" t="s">
        <v>3423</v>
      </c>
      <c r="R27" s="1">
        <v>11</v>
      </c>
      <c r="S27" s="1">
        <f>C21-180</f>
        <v>769</v>
      </c>
      <c r="T27" s="81">
        <f>S27/R27</f>
        <v>69.909090909090907</v>
      </c>
    </row>
    <row r="28" spans="2:21" x14ac:dyDescent="0.2">
      <c r="D28" s="1118">
        <f t="shared" si="0"/>
        <v>524</v>
      </c>
      <c r="E28" s="1033">
        <v>43047</v>
      </c>
      <c r="F28" s="1034">
        <v>0.67152777777777783</v>
      </c>
      <c r="G28" s="1095">
        <v>18937</v>
      </c>
      <c r="H28" s="1084">
        <f t="shared" si="2"/>
        <v>33</v>
      </c>
      <c r="I28" s="1085">
        <f t="shared" si="1"/>
        <v>1375.3183607316507</v>
      </c>
      <c r="L28" s="1077">
        <v>0.67152777777777783</v>
      </c>
      <c r="M28" s="1">
        <v>22</v>
      </c>
      <c r="N28" s="1">
        <v>35</v>
      </c>
      <c r="Q28" s="1" t="s">
        <v>3424</v>
      </c>
      <c r="R28" s="1">
        <v>17</v>
      </c>
      <c r="S28" s="1">
        <f>C51-180</f>
        <v>1109</v>
      </c>
      <c r="U28" s="1088">
        <f>S28/3</f>
        <v>369.66666666666669</v>
      </c>
    </row>
    <row r="29" spans="2:21" x14ac:dyDescent="0.2">
      <c r="D29" s="1118">
        <f t="shared" si="0"/>
        <v>567</v>
      </c>
      <c r="E29" s="1033">
        <v>43048</v>
      </c>
      <c r="F29" s="1034">
        <v>0.67986111111111114</v>
      </c>
      <c r="G29" s="1095">
        <v>18980</v>
      </c>
      <c r="H29" s="1084">
        <f t="shared" si="2"/>
        <v>43</v>
      </c>
      <c r="I29" s="1085">
        <f>H29/((E29-E28)*24+(F29-F28))*1000</f>
        <v>1791.044776119403</v>
      </c>
      <c r="L29" s="1034">
        <v>0.67986111111111114</v>
      </c>
      <c r="M29" s="1">
        <v>21.5</v>
      </c>
      <c r="N29" s="1">
        <v>30</v>
      </c>
      <c r="Q29" s="1" t="s">
        <v>3677</v>
      </c>
      <c r="R29" s="1">
        <v>24</v>
      </c>
      <c r="S29" s="1">
        <f>R29*$T$27</f>
        <v>1677.8181818181818</v>
      </c>
    </row>
    <row r="30" spans="2:21" x14ac:dyDescent="0.2">
      <c r="D30" s="1118">
        <f t="shared" si="0"/>
        <v>585</v>
      </c>
      <c r="E30" s="1033">
        <v>43049</v>
      </c>
      <c r="F30" s="1034">
        <v>0.76180555555555562</v>
      </c>
      <c r="G30" s="1095">
        <v>18998</v>
      </c>
      <c r="H30" s="1084">
        <f t="shared" si="2"/>
        <v>18</v>
      </c>
      <c r="I30" s="1085">
        <f>H30/((E30-E29)*24+(F30-F29))*1000</f>
        <v>747.44794970874909</v>
      </c>
      <c r="Q30" s="1" t="s">
        <v>3678</v>
      </c>
      <c r="R30" s="1">
        <v>15</v>
      </c>
      <c r="S30" s="1">
        <f>R30*$T$27</f>
        <v>1048.6363636363635</v>
      </c>
    </row>
    <row r="31" spans="2:21" x14ac:dyDescent="0.2">
      <c r="D31" s="1118">
        <f t="shared" si="0"/>
        <v>607</v>
      </c>
      <c r="E31" s="1033">
        <v>43050</v>
      </c>
      <c r="F31" s="1034">
        <v>0.76180555555555562</v>
      </c>
      <c r="G31" s="1095">
        <v>19020</v>
      </c>
      <c r="H31" s="1084">
        <f t="shared" si="2"/>
        <v>22</v>
      </c>
      <c r="I31" s="1085">
        <f>$I$33</f>
        <v>1128.7887585646265</v>
      </c>
      <c r="Q31" s="1" t="s">
        <v>3679</v>
      </c>
      <c r="R31" s="1">
        <v>10</v>
      </c>
      <c r="S31" s="1">
        <f>R31*$T$27</f>
        <v>699.09090909090901</v>
      </c>
    </row>
    <row r="32" spans="2:21" x14ac:dyDescent="0.2">
      <c r="D32" s="1118">
        <f t="shared" si="0"/>
        <v>637</v>
      </c>
      <c r="E32" s="1033">
        <v>43051</v>
      </c>
      <c r="F32" s="1034">
        <v>0.76180555555555562</v>
      </c>
      <c r="G32" s="1095">
        <v>19050</v>
      </c>
      <c r="H32" s="1084">
        <f t="shared" si="2"/>
        <v>30</v>
      </c>
      <c r="I32" s="1085">
        <f>$I$33</f>
        <v>1128.7887585646265</v>
      </c>
      <c r="R32" s="907">
        <f>SUM(R27:R31)</f>
        <v>77</v>
      </c>
      <c r="S32" s="907">
        <f>SUM(S27:S31)</f>
        <v>5303.545454545455</v>
      </c>
    </row>
    <row r="33" spans="3:16" x14ac:dyDescent="0.2">
      <c r="D33" s="1118">
        <f t="shared" si="0"/>
        <v>664</v>
      </c>
      <c r="E33" s="1033">
        <v>43052</v>
      </c>
      <c r="F33" s="1034">
        <v>0.68125000000000002</v>
      </c>
      <c r="G33" s="1095">
        <v>19077</v>
      </c>
      <c r="H33" s="1084">
        <f t="shared" si="2"/>
        <v>27</v>
      </c>
      <c r="I33" s="1085">
        <f t="shared" ref="I33:I43" si="3">H33/((E33-E32)*24+(F33-F32))*1000</f>
        <v>1128.7887585646265</v>
      </c>
    </row>
    <row r="34" spans="3:16" x14ac:dyDescent="0.2">
      <c r="D34" s="1118">
        <f t="shared" si="0"/>
        <v>694</v>
      </c>
      <c r="E34" s="1033">
        <v>43053</v>
      </c>
      <c r="F34" s="1034">
        <v>0.68055555555555547</v>
      </c>
      <c r="G34" s="1095">
        <v>19107</v>
      </c>
      <c r="H34" s="1084">
        <f>G34-G33</f>
        <v>30</v>
      </c>
      <c r="I34" s="1085">
        <f t="shared" si="3"/>
        <v>1250.036170028068</v>
      </c>
    </row>
    <row r="35" spans="3:16" x14ac:dyDescent="0.2">
      <c r="D35" s="1118">
        <f t="shared" si="0"/>
        <v>730</v>
      </c>
      <c r="E35" s="1033">
        <v>43054</v>
      </c>
      <c r="F35" s="1034">
        <v>0.68055555555555547</v>
      </c>
      <c r="G35" s="1095">
        <v>19143</v>
      </c>
      <c r="H35" s="1084">
        <f>G35-G34</f>
        <v>36</v>
      </c>
      <c r="I35" s="1085">
        <f t="shared" si="3"/>
        <v>1500</v>
      </c>
    </row>
    <row r="36" spans="3:16" x14ac:dyDescent="0.2">
      <c r="D36" s="1118">
        <f t="shared" si="0"/>
        <v>766</v>
      </c>
      <c r="E36" s="1033">
        <v>43055</v>
      </c>
      <c r="F36" s="1034">
        <v>0.67708333333333337</v>
      </c>
      <c r="G36" s="1095">
        <v>19179</v>
      </c>
      <c r="H36" s="1084">
        <f>G36-G35</f>
        <v>36</v>
      </c>
      <c r="I36" s="1085">
        <f t="shared" si="3"/>
        <v>1500.2170452901171</v>
      </c>
    </row>
    <row r="37" spans="3:16" x14ac:dyDescent="0.2">
      <c r="D37" s="1118">
        <f t="shared" si="0"/>
        <v>801</v>
      </c>
      <c r="E37" s="1033">
        <v>43056</v>
      </c>
      <c r="F37" s="1034">
        <v>0.68402777777777779</v>
      </c>
      <c r="G37" s="1095">
        <v>19214</v>
      </c>
      <c r="H37" s="1084">
        <f t="shared" ref="H37:H50" si="4">G37-G36</f>
        <v>35</v>
      </c>
      <c r="I37" s="1085">
        <f t="shared" si="3"/>
        <v>1457.9114839456176</v>
      </c>
      <c r="L37" s="1077">
        <v>0.75</v>
      </c>
      <c r="M37" s="1034"/>
      <c r="N37" s="1">
        <v>31</v>
      </c>
      <c r="O37" s="1" t="s">
        <v>3651</v>
      </c>
      <c r="P37" s="1" t="s">
        <v>3652</v>
      </c>
    </row>
    <row r="38" spans="3:16" x14ac:dyDescent="0.2">
      <c r="D38" s="1118">
        <f t="shared" si="0"/>
        <v>842</v>
      </c>
      <c r="E38" s="1033">
        <v>43057</v>
      </c>
      <c r="F38" s="1034">
        <v>0.80902777777777779</v>
      </c>
      <c r="G38" s="1095">
        <v>19255</v>
      </c>
      <c r="H38" s="1084">
        <f t="shared" si="4"/>
        <v>41</v>
      </c>
      <c r="I38" s="1085">
        <f t="shared" si="3"/>
        <v>1699.4818652849742</v>
      </c>
      <c r="N38" s="1">
        <v>31</v>
      </c>
      <c r="O38" s="1" t="s">
        <v>3650</v>
      </c>
      <c r="P38" s="1" t="s">
        <v>3653</v>
      </c>
    </row>
    <row r="39" spans="3:16" x14ac:dyDescent="0.2">
      <c r="D39" s="1118">
        <f t="shared" si="0"/>
        <v>875</v>
      </c>
      <c r="E39" s="1033">
        <v>43058</v>
      </c>
      <c r="F39" s="1034">
        <v>0.81111111111111101</v>
      </c>
      <c r="G39" s="1095">
        <v>19288</v>
      </c>
      <c r="H39" s="1084">
        <f t="shared" si="4"/>
        <v>33</v>
      </c>
      <c r="I39" s="1085">
        <f t="shared" si="3"/>
        <v>1374.8806527211182</v>
      </c>
    </row>
    <row r="40" spans="3:16" x14ac:dyDescent="0.2">
      <c r="D40" s="1118">
        <f t="shared" si="0"/>
        <v>905</v>
      </c>
      <c r="E40" s="1033">
        <v>43059</v>
      </c>
      <c r="F40" s="1034">
        <v>0.69791666666666663</v>
      </c>
      <c r="G40" s="1095">
        <v>19318</v>
      </c>
      <c r="H40" s="1084">
        <f t="shared" si="4"/>
        <v>30</v>
      </c>
      <c r="I40" s="1085">
        <f t="shared" si="3"/>
        <v>1255.9234816989856</v>
      </c>
    </row>
    <row r="41" spans="3:16" x14ac:dyDescent="0.2">
      <c r="D41" s="1118">
        <f t="shared" si="0"/>
        <v>944</v>
      </c>
      <c r="E41" s="1033">
        <v>43060</v>
      </c>
      <c r="F41" s="1034">
        <v>0.67986111111111114</v>
      </c>
      <c r="G41" s="1095">
        <v>19357</v>
      </c>
      <c r="H41" s="1084">
        <f t="shared" si="4"/>
        <v>39</v>
      </c>
      <c r="I41" s="1085">
        <f t="shared" si="3"/>
        <v>1626.2234319800777</v>
      </c>
    </row>
    <row r="42" spans="3:16" x14ac:dyDescent="0.2">
      <c r="D42" s="1118">
        <f t="shared" si="0"/>
        <v>974</v>
      </c>
      <c r="E42" s="1033">
        <v>43061</v>
      </c>
      <c r="F42" s="1034">
        <v>0.70694444444444438</v>
      </c>
      <c r="G42" s="1095">
        <v>19387</v>
      </c>
      <c r="H42" s="1084">
        <f t="shared" si="4"/>
        <v>30</v>
      </c>
      <c r="I42" s="1085">
        <f t="shared" si="3"/>
        <v>1248.5909997398769</v>
      </c>
    </row>
    <row r="43" spans="3:16" x14ac:dyDescent="0.2">
      <c r="C43" s="1079"/>
      <c r="D43" s="1118">
        <f t="shared" si="0"/>
        <v>1013</v>
      </c>
      <c r="E43" s="1033">
        <v>43062</v>
      </c>
      <c r="F43" s="1034">
        <v>0.74097222222222225</v>
      </c>
      <c r="G43" s="1095">
        <v>19426</v>
      </c>
      <c r="H43" s="1084">
        <f t="shared" si="4"/>
        <v>39</v>
      </c>
      <c r="I43" s="1085">
        <f t="shared" si="3"/>
        <v>1622.6992978704961</v>
      </c>
    </row>
    <row r="44" spans="3:16" x14ac:dyDescent="0.2">
      <c r="D44" s="1118">
        <f t="shared" si="0"/>
        <v>1045</v>
      </c>
      <c r="E44" s="1033">
        <v>43063</v>
      </c>
      <c r="F44" s="1034">
        <v>0.90833333333333333</v>
      </c>
      <c r="G44" s="1095">
        <v>19458</v>
      </c>
      <c r="H44" s="1084">
        <f t="shared" si="4"/>
        <v>32</v>
      </c>
      <c r="I44" s="1085">
        <f t="shared" ref="I44:I58" si="5">H44/((E44-E43)*24+(F44-F43))*1000</f>
        <v>1324.0998821872934</v>
      </c>
      <c r="K44" s="1084">
        <f t="shared" ref="K44:K57" si="6">G44-G14</f>
        <v>876</v>
      </c>
    </row>
    <row r="45" spans="3:16" x14ac:dyDescent="0.2">
      <c r="D45" s="1118">
        <f t="shared" si="0"/>
        <v>1073</v>
      </c>
      <c r="E45" s="1033">
        <v>43064</v>
      </c>
      <c r="F45" s="1034">
        <v>0.90833333333333333</v>
      </c>
      <c r="G45" s="1095">
        <v>19486</v>
      </c>
      <c r="H45" s="1084">
        <f t="shared" ref="H45:H46" si="7">G45-G44</f>
        <v>28</v>
      </c>
      <c r="I45" s="1085">
        <f t="shared" ref="I45" si="8">H45/((E45-E44)*24+(F45-F44))*1000</f>
        <v>1166.6666666666667</v>
      </c>
      <c r="K45" s="1084">
        <f t="shared" ref="K45" si="9">G45-G15</f>
        <v>19486</v>
      </c>
    </row>
    <row r="46" spans="3:16" x14ac:dyDescent="0.2">
      <c r="D46" s="1118">
        <f t="shared" si="0"/>
        <v>1101</v>
      </c>
      <c r="E46" s="1033">
        <v>43065</v>
      </c>
      <c r="F46" s="1034">
        <v>0.67013888888888884</v>
      </c>
      <c r="G46" s="1095">
        <v>19514</v>
      </c>
      <c r="H46" s="1084">
        <f t="shared" si="7"/>
        <v>28</v>
      </c>
      <c r="I46" s="1085">
        <f t="shared" si="5"/>
        <v>1178.3616331063506</v>
      </c>
      <c r="K46" s="1084">
        <f t="shared" si="6"/>
        <v>887</v>
      </c>
    </row>
    <row r="47" spans="3:16" x14ac:dyDescent="0.2">
      <c r="D47" s="1118">
        <f t="shared" si="0"/>
        <v>1131</v>
      </c>
      <c r="E47" s="1033">
        <v>43066</v>
      </c>
      <c r="F47" s="1034">
        <v>0.66041666666666665</v>
      </c>
      <c r="G47" s="1095">
        <v>19544</v>
      </c>
      <c r="H47" s="1084">
        <f t="shared" si="4"/>
        <v>30</v>
      </c>
      <c r="I47" s="1085">
        <f t="shared" si="5"/>
        <v>1250.5065709488799</v>
      </c>
    </row>
    <row r="48" spans="3:16" x14ac:dyDescent="0.2">
      <c r="D48" s="1118">
        <f t="shared" si="0"/>
        <v>1173</v>
      </c>
      <c r="E48" s="1033">
        <v>43067</v>
      </c>
      <c r="F48" s="1034">
        <v>0.68333333333333324</v>
      </c>
      <c r="G48" s="1095">
        <v>19586</v>
      </c>
      <c r="H48" s="1084">
        <f t="shared" si="4"/>
        <v>42</v>
      </c>
      <c r="I48" s="1085">
        <f t="shared" si="5"/>
        <v>1748.3305871129996</v>
      </c>
    </row>
    <row r="49" spans="2:14" x14ac:dyDescent="0.2">
      <c r="D49" s="1118">
        <f t="shared" si="0"/>
        <v>1226</v>
      </c>
      <c r="E49" s="1033">
        <v>43068</v>
      </c>
      <c r="F49" s="1034">
        <v>0.68541666666666667</v>
      </c>
      <c r="G49" s="1095">
        <v>19639</v>
      </c>
      <c r="H49" s="1084">
        <f t="shared" si="4"/>
        <v>53</v>
      </c>
      <c r="I49" s="1085">
        <f t="shared" si="5"/>
        <v>2208.1416543702799</v>
      </c>
      <c r="K49" s="1084">
        <f t="shared" si="6"/>
        <v>944</v>
      </c>
    </row>
    <row r="50" spans="2:14" ht="13.5" thickBot="1" x14ac:dyDescent="0.25">
      <c r="D50" s="1118">
        <f t="shared" si="0"/>
        <v>1271</v>
      </c>
      <c r="E50" s="1033">
        <v>43069</v>
      </c>
      <c r="F50" s="1034">
        <v>0.67361111111111116</v>
      </c>
      <c r="G50" s="1095">
        <v>19684</v>
      </c>
      <c r="H50" s="1084">
        <f t="shared" si="4"/>
        <v>45</v>
      </c>
      <c r="I50" s="1085">
        <f t="shared" si="5"/>
        <v>1875.9227629331556</v>
      </c>
      <c r="K50" s="1084">
        <f t="shared" si="6"/>
        <v>964</v>
      </c>
      <c r="L50" s="1034">
        <v>0.67361111111111116</v>
      </c>
      <c r="M50" s="1">
        <v>21</v>
      </c>
    </row>
    <row r="51" spans="2:14" ht="13.5" thickBot="1" x14ac:dyDescent="0.25">
      <c r="B51" s="1101" t="s">
        <v>3634</v>
      </c>
      <c r="C51" s="1105">
        <f>MAX(G51:G82)-G51</f>
        <v>1289</v>
      </c>
      <c r="D51" s="1118">
        <f t="shared" si="0"/>
        <v>1292</v>
      </c>
      <c r="E51" s="1033">
        <v>43070</v>
      </c>
      <c r="F51" s="1034">
        <v>0.6694444444444444</v>
      </c>
      <c r="G51" s="1095">
        <v>19705</v>
      </c>
      <c r="H51" s="1084">
        <f t="shared" ref="H51:H64" si="10">G51-G50</f>
        <v>21</v>
      </c>
      <c r="I51" s="1085">
        <f t="shared" si="5"/>
        <v>875.15193610001745</v>
      </c>
      <c r="K51" s="1084">
        <f t="shared" si="6"/>
        <v>949</v>
      </c>
    </row>
    <row r="52" spans="2:14" x14ac:dyDescent="0.2">
      <c r="B52" s="1053" t="s">
        <v>3693</v>
      </c>
      <c r="C52" s="1068">
        <f>MIN(H51:H81)</f>
        <v>21</v>
      </c>
      <c r="D52" s="1118">
        <f t="shared" si="0"/>
        <v>1334</v>
      </c>
      <c r="E52" s="1033">
        <v>43071</v>
      </c>
      <c r="F52" s="1034">
        <v>0.67499999999999993</v>
      </c>
      <c r="G52" s="1095">
        <v>19747</v>
      </c>
      <c r="H52" s="1084">
        <f t="shared" si="10"/>
        <v>42</v>
      </c>
      <c r="I52" s="1085">
        <f t="shared" si="5"/>
        <v>1749.5950011571394</v>
      </c>
      <c r="K52" s="1084">
        <f t="shared" si="6"/>
        <v>967</v>
      </c>
    </row>
    <row r="53" spans="2:14" x14ac:dyDescent="0.2">
      <c r="B53" s="1053" t="s">
        <v>3692</v>
      </c>
      <c r="C53" s="1068">
        <f>MAX(H51:H81)</f>
        <v>59</v>
      </c>
      <c r="D53" s="1118">
        <f t="shared" si="0"/>
        <v>1378</v>
      </c>
      <c r="E53" s="1033">
        <v>43072</v>
      </c>
      <c r="F53" s="1034">
        <v>0.67291666666666661</v>
      </c>
      <c r="G53" s="1095">
        <v>19791</v>
      </c>
      <c r="H53" s="1084">
        <f t="shared" si="10"/>
        <v>44</v>
      </c>
      <c r="I53" s="1085">
        <f t="shared" si="5"/>
        <v>1833.4924906675928</v>
      </c>
      <c r="K53" s="1084">
        <f t="shared" si="6"/>
        <v>991</v>
      </c>
    </row>
    <row r="54" spans="2:14" ht="13.5" thickBot="1" x14ac:dyDescent="0.25">
      <c r="B54" s="1099" t="s">
        <v>3694</v>
      </c>
      <c r="C54" s="1100">
        <f>C51/COUNT(E51:E81)</f>
        <v>41.58064516129032</v>
      </c>
      <c r="D54" s="1118">
        <f t="shared" si="0"/>
        <v>1426</v>
      </c>
      <c r="E54" s="1033">
        <v>43073</v>
      </c>
      <c r="F54" s="1034">
        <v>0.69166666666666676</v>
      </c>
      <c r="G54" s="1095">
        <v>19839</v>
      </c>
      <c r="H54" s="1084">
        <f t="shared" si="10"/>
        <v>48</v>
      </c>
      <c r="I54" s="1085">
        <f t="shared" si="5"/>
        <v>1998.4387197501951</v>
      </c>
      <c r="J54" s="1098">
        <f>I54*24/1000</f>
        <v>47.962529274004687</v>
      </c>
      <c r="K54" s="1084">
        <f t="shared" si="6"/>
        <v>1007</v>
      </c>
      <c r="L54" s="1034">
        <v>0.69166666666666676</v>
      </c>
      <c r="N54" s="1">
        <v>40</v>
      </c>
    </row>
    <row r="55" spans="2:14" x14ac:dyDescent="0.2">
      <c r="C55" s="1079"/>
      <c r="D55" s="1118">
        <f t="shared" si="0"/>
        <v>1469</v>
      </c>
      <c r="E55" s="1033">
        <v>43074</v>
      </c>
      <c r="F55" s="1034">
        <v>0.67638888888888893</v>
      </c>
      <c r="G55" s="1095">
        <v>19882</v>
      </c>
      <c r="H55" s="1084">
        <f t="shared" si="10"/>
        <v>43</v>
      </c>
      <c r="I55" s="1085">
        <f t="shared" si="5"/>
        <v>1792.8079217094216</v>
      </c>
      <c r="J55" s="1098">
        <f t="shared" ref="J55:J63" si="11">I55*24/1000</f>
        <v>43.027390121026116</v>
      </c>
      <c r="K55" s="1084">
        <f t="shared" si="6"/>
        <v>1025</v>
      </c>
    </row>
    <row r="56" spans="2:14" x14ac:dyDescent="0.2">
      <c r="C56" s="1079"/>
      <c r="D56" s="1118">
        <f t="shared" si="0"/>
        <v>1512</v>
      </c>
      <c r="E56" s="1033">
        <v>43075</v>
      </c>
      <c r="F56" s="1034">
        <v>0.6791666666666667</v>
      </c>
      <c r="G56" s="1095">
        <v>19925</v>
      </c>
      <c r="H56" s="1084">
        <f t="shared" si="10"/>
        <v>43</v>
      </c>
      <c r="I56" s="1085">
        <f t="shared" si="5"/>
        <v>1791.4593218377504</v>
      </c>
      <c r="J56" s="1098">
        <f t="shared" si="11"/>
        <v>42.995023724106012</v>
      </c>
      <c r="K56" s="1084">
        <f t="shared" si="6"/>
        <v>1045</v>
      </c>
    </row>
    <row r="57" spans="2:14" x14ac:dyDescent="0.2">
      <c r="C57" s="1079"/>
      <c r="D57" s="1118">
        <f t="shared" si="0"/>
        <v>1557</v>
      </c>
      <c r="E57" s="1033">
        <v>43076</v>
      </c>
      <c r="F57" s="1034">
        <v>0.86041666666666661</v>
      </c>
      <c r="G57" s="1095">
        <v>19970</v>
      </c>
      <c r="H57" s="1084">
        <f t="shared" si="10"/>
        <v>45</v>
      </c>
      <c r="I57" s="1085">
        <f t="shared" si="5"/>
        <v>1860.9459808736108</v>
      </c>
      <c r="J57" s="1098">
        <f t="shared" si="11"/>
        <v>44.66270354096666</v>
      </c>
      <c r="K57" s="1084">
        <f t="shared" si="6"/>
        <v>1066</v>
      </c>
    </row>
    <row r="58" spans="2:14" x14ac:dyDescent="0.2">
      <c r="C58" s="1079"/>
      <c r="D58" s="1118">
        <f t="shared" si="0"/>
        <v>1590</v>
      </c>
      <c r="E58" s="1033">
        <v>43077</v>
      </c>
      <c r="F58" s="1034">
        <v>0.68958333333333333</v>
      </c>
      <c r="G58" s="1095">
        <v>20003</v>
      </c>
      <c r="H58" s="1084">
        <f t="shared" si="10"/>
        <v>33</v>
      </c>
      <c r="I58" s="1085">
        <f t="shared" si="5"/>
        <v>1384.857492568631</v>
      </c>
      <c r="J58" s="1098">
        <f t="shared" si="11"/>
        <v>33.236579821647148</v>
      </c>
      <c r="K58" s="1084">
        <f>G58-G28</f>
        <v>1066</v>
      </c>
    </row>
    <row r="59" spans="2:14" x14ac:dyDescent="0.2">
      <c r="D59" s="1118">
        <f t="shared" si="0"/>
        <v>1627</v>
      </c>
      <c r="E59" s="1033">
        <v>43078</v>
      </c>
      <c r="F59" s="1034">
        <v>0.6777777777777777</v>
      </c>
      <c r="G59" s="1095">
        <v>20040</v>
      </c>
      <c r="H59" s="1084">
        <f t="shared" si="10"/>
        <v>37</v>
      </c>
      <c r="I59" s="1085">
        <f t="shared" ref="I59:I64" si="12">H59/((E59-E58)*24+(F59-F58))*1000</f>
        <v>1542.4253828561502</v>
      </c>
      <c r="J59" s="1098">
        <f t="shared" si="11"/>
        <v>37.018209188547601</v>
      </c>
      <c r="K59" s="1084">
        <f>G59-G29</f>
        <v>1060</v>
      </c>
    </row>
    <row r="60" spans="2:14" x14ac:dyDescent="0.2">
      <c r="D60" s="1118">
        <f t="shared" si="0"/>
        <v>1667</v>
      </c>
      <c r="E60" s="1033">
        <v>43079</v>
      </c>
      <c r="F60" s="1034">
        <v>0.68402777777777779</v>
      </c>
      <c r="G60" s="1095">
        <v>20080</v>
      </c>
      <c r="H60" s="1084">
        <f t="shared" si="10"/>
        <v>40</v>
      </c>
      <c r="I60" s="1085">
        <f t="shared" si="12"/>
        <v>1666.2327518875293</v>
      </c>
      <c r="J60" s="1098">
        <f t="shared" si="11"/>
        <v>39.989586045300705</v>
      </c>
      <c r="K60" s="1084">
        <f>G60-G30</f>
        <v>1082</v>
      </c>
      <c r="M60" s="1">
        <v>21.5</v>
      </c>
    </row>
    <row r="61" spans="2:14" x14ac:dyDescent="0.2">
      <c r="D61" s="1118">
        <f t="shared" si="0"/>
        <v>1721</v>
      </c>
      <c r="E61" s="1033">
        <v>43080</v>
      </c>
      <c r="F61" s="1034">
        <v>0.67708333333333337</v>
      </c>
      <c r="G61" s="1095">
        <v>20134</v>
      </c>
      <c r="H61" s="1084">
        <f t="shared" si="10"/>
        <v>54</v>
      </c>
      <c r="I61" s="1085">
        <f t="shared" si="12"/>
        <v>2250.6512301013022</v>
      </c>
      <c r="J61" s="1098">
        <f t="shared" si="11"/>
        <v>54.015629522431247</v>
      </c>
    </row>
    <row r="62" spans="2:14" x14ac:dyDescent="0.2">
      <c r="D62" s="1118">
        <f t="shared" si="0"/>
        <v>1755</v>
      </c>
      <c r="E62" s="1033">
        <v>43081</v>
      </c>
      <c r="F62" s="1034">
        <v>0.66041666666666665</v>
      </c>
      <c r="G62" s="1095">
        <v>20168</v>
      </c>
      <c r="H62" s="1084">
        <f t="shared" si="10"/>
        <v>34</v>
      </c>
      <c r="I62" s="1085">
        <f t="shared" si="12"/>
        <v>1417.6511466296038</v>
      </c>
      <c r="J62" s="1098">
        <f t="shared" si="11"/>
        <v>34.023627519110491</v>
      </c>
    </row>
    <row r="63" spans="2:14" x14ac:dyDescent="0.2">
      <c r="D63" s="1118">
        <f t="shared" si="0"/>
        <v>1792</v>
      </c>
      <c r="E63" s="1033">
        <v>43082</v>
      </c>
      <c r="F63" s="1034">
        <v>0.68958333333333333</v>
      </c>
      <c r="G63" s="1095">
        <v>20205</v>
      </c>
      <c r="H63" s="1084">
        <f t="shared" si="10"/>
        <v>37</v>
      </c>
      <c r="I63" s="1085">
        <f t="shared" si="12"/>
        <v>1539.7953875498526</v>
      </c>
      <c r="J63" s="1098">
        <f t="shared" si="11"/>
        <v>36.955089301196466</v>
      </c>
      <c r="K63" s="1084">
        <f>G63-G33</f>
        <v>1128</v>
      </c>
    </row>
    <row r="64" spans="2:14" x14ac:dyDescent="0.2">
      <c r="D64" s="1118">
        <f t="shared" si="0"/>
        <v>1833</v>
      </c>
      <c r="E64" s="1033">
        <v>43083</v>
      </c>
      <c r="F64" s="1034">
        <v>0.66041666666666665</v>
      </c>
      <c r="G64" s="1095">
        <v>20246</v>
      </c>
      <c r="H64" s="1084">
        <f t="shared" si="10"/>
        <v>41</v>
      </c>
      <c r="I64" s="1085">
        <f t="shared" si="12"/>
        <v>1710.4119589779245</v>
      </c>
      <c r="J64" s="1098">
        <f t="shared" ref="J64:J74" si="13">I64*24/1000</f>
        <v>41.04988701547019</v>
      </c>
      <c r="K64" s="1084">
        <f>G64-G34</f>
        <v>1139</v>
      </c>
    </row>
    <row r="65" spans="4:11" x14ac:dyDescent="0.2">
      <c r="D65" s="1118">
        <f t="shared" si="0"/>
        <v>1870</v>
      </c>
      <c r="E65" s="1033">
        <v>43084</v>
      </c>
      <c r="F65" s="1034">
        <v>0.67083333333333339</v>
      </c>
      <c r="G65" s="1095">
        <v>20283</v>
      </c>
      <c r="H65" s="1084">
        <f t="shared" ref="H65:H74" si="14">G65-G64</f>
        <v>37</v>
      </c>
      <c r="I65" s="1085">
        <f t="shared" ref="I65:I74" si="15">H65/((E65-E64)*24+(F65-F64))*1000</f>
        <v>1540.9978308026029</v>
      </c>
      <c r="J65" s="1098">
        <f t="shared" si="13"/>
        <v>36.983947939262471</v>
      </c>
    </row>
    <row r="66" spans="4:11" x14ac:dyDescent="0.2">
      <c r="D66" s="1118">
        <f t="shared" si="0"/>
        <v>1914</v>
      </c>
      <c r="E66" s="1033">
        <v>43085</v>
      </c>
      <c r="F66" s="1034">
        <v>0.71111111111111114</v>
      </c>
      <c r="G66" s="1095">
        <v>20327</v>
      </c>
      <c r="H66" s="1084">
        <f t="shared" si="14"/>
        <v>44</v>
      </c>
      <c r="I66" s="1085">
        <f t="shared" si="15"/>
        <v>1830.2617135594198</v>
      </c>
      <c r="J66" s="1098">
        <f t="shared" si="13"/>
        <v>43.926281125426073</v>
      </c>
      <c r="K66" s="1084">
        <f t="shared" ref="K66:K74" si="16">G66-G36</f>
        <v>1148</v>
      </c>
    </row>
    <row r="67" spans="4:11" x14ac:dyDescent="0.2">
      <c r="D67" s="1118">
        <f t="shared" si="0"/>
        <v>1951</v>
      </c>
      <c r="E67" s="1033">
        <v>43086</v>
      </c>
      <c r="F67" s="1034">
        <v>0.75694444444444453</v>
      </c>
      <c r="G67" s="1095">
        <v>20364</v>
      </c>
      <c r="H67" s="1084">
        <f t="shared" si="14"/>
        <v>37</v>
      </c>
      <c r="I67" s="1085">
        <f t="shared" si="15"/>
        <v>1538.7281233754982</v>
      </c>
      <c r="J67" s="1098">
        <f t="shared" si="13"/>
        <v>36.929474961011955</v>
      </c>
      <c r="K67" s="1084">
        <f t="shared" si="16"/>
        <v>1150</v>
      </c>
    </row>
    <row r="68" spans="4:11" x14ac:dyDescent="0.2">
      <c r="D68" s="1118">
        <f t="shared" si="0"/>
        <v>1999</v>
      </c>
      <c r="E68" s="1033">
        <v>43087</v>
      </c>
      <c r="F68" s="1034">
        <v>0.69027777777777777</v>
      </c>
      <c r="G68" s="1095">
        <v>20412</v>
      </c>
      <c r="H68" s="1084">
        <f t="shared" si="14"/>
        <v>48</v>
      </c>
      <c r="I68" s="1085">
        <f t="shared" si="15"/>
        <v>2005.5710306406684</v>
      </c>
      <c r="J68" s="1098">
        <f t="shared" si="13"/>
        <v>48.133704735376043</v>
      </c>
      <c r="K68" s="1084">
        <f t="shared" si="16"/>
        <v>1157</v>
      </c>
    </row>
    <row r="69" spans="4:11" x14ac:dyDescent="0.2">
      <c r="D69" s="1118">
        <f t="shared" si="0"/>
        <v>2046</v>
      </c>
      <c r="E69" s="1033">
        <v>43088</v>
      </c>
      <c r="F69" s="1034">
        <v>0.68888888888888899</v>
      </c>
      <c r="G69" s="1095">
        <v>20459</v>
      </c>
      <c r="H69" s="1084">
        <f t="shared" si="14"/>
        <v>47</v>
      </c>
      <c r="I69" s="1085">
        <f t="shared" si="15"/>
        <v>1958.4466693674403</v>
      </c>
      <c r="J69" s="1098">
        <f t="shared" si="13"/>
        <v>47.002720064818568</v>
      </c>
      <c r="K69" s="1084">
        <f t="shared" si="16"/>
        <v>1171</v>
      </c>
    </row>
    <row r="70" spans="4:11" x14ac:dyDescent="0.2">
      <c r="D70" s="1118">
        <f t="shared" si="0"/>
        <v>2097</v>
      </c>
      <c r="E70" s="1033">
        <v>43089</v>
      </c>
      <c r="F70" s="1034">
        <v>0.69236111111111109</v>
      </c>
      <c r="G70" s="1095">
        <v>20510</v>
      </c>
      <c r="H70" s="1084">
        <f t="shared" si="14"/>
        <v>51</v>
      </c>
      <c r="I70" s="1085">
        <f t="shared" si="15"/>
        <v>2124.692608129611</v>
      </c>
      <c r="J70" s="1098">
        <f t="shared" si="13"/>
        <v>50.99262259511066</v>
      </c>
      <c r="K70" s="1084">
        <f t="shared" si="16"/>
        <v>1192</v>
      </c>
    </row>
    <row r="71" spans="4:11" x14ac:dyDescent="0.2">
      <c r="D71" s="1118">
        <f t="shared" si="0"/>
        <v>2156</v>
      </c>
      <c r="E71" s="1033">
        <v>43090</v>
      </c>
      <c r="F71" s="1034">
        <v>0.70277777777777783</v>
      </c>
      <c r="G71" s="1095">
        <v>20569</v>
      </c>
      <c r="H71" s="1084">
        <f t="shared" si="14"/>
        <v>59</v>
      </c>
      <c r="I71" s="1085">
        <f t="shared" si="15"/>
        <v>2457.266811279826</v>
      </c>
      <c r="J71" s="1098">
        <f t="shared" si="13"/>
        <v>58.974403470715828</v>
      </c>
      <c r="K71" s="1084">
        <f t="shared" si="16"/>
        <v>1212</v>
      </c>
    </row>
    <row r="72" spans="4:11" x14ac:dyDescent="0.2">
      <c r="D72" s="1118">
        <f t="shared" si="0"/>
        <v>2197</v>
      </c>
      <c r="E72" s="1033">
        <v>43091</v>
      </c>
      <c r="F72" s="1034">
        <v>0.6972222222222223</v>
      </c>
      <c r="G72" s="1095">
        <v>20610</v>
      </c>
      <c r="H72" s="1084">
        <f t="shared" si="14"/>
        <v>41</v>
      </c>
      <c r="I72" s="1085">
        <f t="shared" si="15"/>
        <v>1708.7288724241723</v>
      </c>
      <c r="J72" s="1098">
        <f t="shared" si="13"/>
        <v>41.009492938180131</v>
      </c>
      <c r="K72" s="1084">
        <f t="shared" si="16"/>
        <v>1223</v>
      </c>
    </row>
    <row r="73" spans="4:11" x14ac:dyDescent="0.2">
      <c r="D73" s="1118">
        <f t="shared" si="0"/>
        <v>2239</v>
      </c>
      <c r="E73" s="1033">
        <v>43092</v>
      </c>
      <c r="F73" s="1034">
        <v>0.6958333333333333</v>
      </c>
      <c r="G73" s="1095">
        <v>20652</v>
      </c>
      <c r="H73" s="1084">
        <f t="shared" si="14"/>
        <v>42</v>
      </c>
      <c r="I73" s="1085">
        <f t="shared" si="15"/>
        <v>1750.101279009202</v>
      </c>
      <c r="J73" s="1098">
        <f t="shared" si="13"/>
        <v>42.002430696220848</v>
      </c>
      <c r="K73" s="1084">
        <f t="shared" si="16"/>
        <v>1226</v>
      </c>
    </row>
    <row r="74" spans="4:11" x14ac:dyDescent="0.2">
      <c r="D74" s="1118">
        <f t="shared" si="0"/>
        <v>2275</v>
      </c>
      <c r="E74" s="1033">
        <v>43093</v>
      </c>
      <c r="F74" s="1034">
        <v>0.70763888888888893</v>
      </c>
      <c r="G74" s="1095">
        <v>20688</v>
      </c>
      <c r="H74" s="1084">
        <f t="shared" si="14"/>
        <v>36</v>
      </c>
      <c r="I74" s="1085">
        <f t="shared" si="15"/>
        <v>1499.2625155450157</v>
      </c>
      <c r="J74" s="1098">
        <f t="shared" si="13"/>
        <v>35.982300373080378</v>
      </c>
      <c r="K74" s="1084">
        <f t="shared" si="16"/>
        <v>1230</v>
      </c>
    </row>
    <row r="75" spans="4:11" x14ac:dyDescent="0.2">
      <c r="D75" s="1118">
        <f t="shared" si="0"/>
        <v>2309</v>
      </c>
      <c r="E75" s="1033">
        <v>43094</v>
      </c>
      <c r="F75" s="1034">
        <v>0.70763888888888893</v>
      </c>
      <c r="G75" s="1095">
        <v>20722</v>
      </c>
      <c r="H75" s="1084">
        <f t="shared" ref="H75" si="17">G75-G74</f>
        <v>34</v>
      </c>
      <c r="I75" s="1085">
        <f t="shared" ref="I75" si="18">H75/((E75-E74)*24+(F75-F74))*1000</f>
        <v>1416.6666666666667</v>
      </c>
      <c r="J75" s="1098">
        <f t="shared" ref="J75" si="19">I75*24/1000</f>
        <v>34</v>
      </c>
      <c r="K75" s="1084">
        <f t="shared" ref="K75" si="20">G75-G45</f>
        <v>1236</v>
      </c>
    </row>
    <row r="76" spans="4:11" x14ac:dyDescent="0.2">
      <c r="D76" s="1118">
        <f t="shared" si="0"/>
        <v>2343</v>
      </c>
      <c r="E76" s="1033">
        <v>43095</v>
      </c>
      <c r="F76" s="1034">
        <v>0.70763888888888893</v>
      </c>
      <c r="G76" s="1095">
        <v>20756</v>
      </c>
      <c r="H76" s="1084">
        <f t="shared" ref="H76" si="21">G76-G75</f>
        <v>34</v>
      </c>
      <c r="I76" s="1085">
        <f t="shared" ref="I76" si="22">H76/((E76-E75)*24+(F76-F75))*1000</f>
        <v>1416.6666666666667</v>
      </c>
      <c r="J76" s="1098">
        <f t="shared" ref="J76" si="23">I76*24/1000</f>
        <v>34</v>
      </c>
      <c r="K76" s="1084">
        <f t="shared" ref="K76" si="24">G76-G46</f>
        <v>1242</v>
      </c>
    </row>
    <row r="77" spans="4:11" x14ac:dyDescent="0.2">
      <c r="D77" s="1118">
        <f t="shared" si="0"/>
        <v>2377</v>
      </c>
      <c r="E77" s="1033">
        <v>43096</v>
      </c>
      <c r="F77" s="1034">
        <v>0.70763888888888893</v>
      </c>
      <c r="G77" s="1095">
        <v>20790</v>
      </c>
      <c r="H77" s="1084">
        <f t="shared" ref="H77:H78" si="25">G77-G76</f>
        <v>34</v>
      </c>
      <c r="I77" s="1085">
        <f t="shared" ref="I77" si="26">H77/((E77-E76)*24+(F77-F76))*1000</f>
        <v>1416.6666666666667</v>
      </c>
      <c r="J77" s="1098">
        <f t="shared" ref="J77" si="27">I77*24/1000</f>
        <v>34</v>
      </c>
      <c r="K77" s="1084">
        <f t="shared" ref="K77" si="28">G77-G47</f>
        <v>1246</v>
      </c>
    </row>
    <row r="78" spans="4:11" x14ac:dyDescent="0.2">
      <c r="D78" s="1118">
        <f t="shared" si="0"/>
        <v>2412</v>
      </c>
      <c r="E78" s="1033">
        <v>43097</v>
      </c>
      <c r="F78" s="1034">
        <v>0.74930555555555556</v>
      </c>
      <c r="G78" s="1095">
        <v>20825</v>
      </c>
      <c r="H78" s="1084">
        <f t="shared" si="25"/>
        <v>35</v>
      </c>
      <c r="I78" s="1085">
        <f t="shared" ref="I78:I95" si="29">H78/((E78-E77)*24+(F78-F77))*1000</f>
        <v>1455.8058925476603</v>
      </c>
      <c r="J78" s="1098">
        <f>I78*24/1000</f>
        <v>34.939341421143851</v>
      </c>
      <c r="K78" s="1084">
        <f t="shared" ref="K78:K95" si="30">G78-G48</f>
        <v>1239</v>
      </c>
    </row>
    <row r="79" spans="4:11" x14ac:dyDescent="0.2">
      <c r="D79" s="1118">
        <f t="shared" si="0"/>
        <v>2445</v>
      </c>
      <c r="E79" s="1033">
        <v>43098</v>
      </c>
      <c r="F79" s="1034">
        <v>0.6958333333333333</v>
      </c>
      <c r="G79" s="1095">
        <v>20858</v>
      </c>
      <c r="H79" s="1084">
        <f t="shared" ref="H79:H96" si="31">G79-G78</f>
        <v>33</v>
      </c>
      <c r="I79" s="1085">
        <f t="shared" si="29"/>
        <v>1378.0703535075254</v>
      </c>
      <c r="J79" s="1098">
        <f>I79*24/1000</f>
        <v>33.073688484180607</v>
      </c>
      <c r="K79" s="1084">
        <f t="shared" si="30"/>
        <v>1219</v>
      </c>
    </row>
    <row r="80" spans="4:11" x14ac:dyDescent="0.2">
      <c r="D80" s="1118">
        <f t="shared" ref="D80:D143" si="32">G80-$G$3</f>
        <v>2482</v>
      </c>
      <c r="E80" s="1033">
        <v>43099</v>
      </c>
      <c r="F80" s="1034">
        <v>0.69236111111111109</v>
      </c>
      <c r="G80" s="1095">
        <v>20895</v>
      </c>
      <c r="H80" s="1084">
        <f t="shared" si="31"/>
        <v>37</v>
      </c>
      <c r="I80" s="1085">
        <f t="shared" si="29"/>
        <v>1541.8897409926205</v>
      </c>
      <c r="J80" s="1098">
        <f>I80*24/1000</f>
        <v>37.005353783822898</v>
      </c>
      <c r="K80" s="1084">
        <f t="shared" si="30"/>
        <v>1211</v>
      </c>
    </row>
    <row r="81" spans="2:11" ht="13.5" thickBot="1" x14ac:dyDescent="0.25">
      <c r="D81" s="1118">
        <f t="shared" si="32"/>
        <v>2532</v>
      </c>
      <c r="E81" s="1033">
        <v>43100</v>
      </c>
      <c r="F81" s="1034">
        <v>0.69236111111111109</v>
      </c>
      <c r="G81" s="1095">
        <v>20945</v>
      </c>
      <c r="H81" s="1084">
        <f t="shared" si="31"/>
        <v>50</v>
      </c>
      <c r="I81" s="1085">
        <f t="shared" si="29"/>
        <v>2083.3333333333335</v>
      </c>
      <c r="J81" s="1098">
        <f>I81*24/1000</f>
        <v>50</v>
      </c>
      <c r="K81" s="1084">
        <f t="shared" si="30"/>
        <v>1240</v>
      </c>
    </row>
    <row r="82" spans="2:11" ht="13.5" thickBot="1" x14ac:dyDescent="0.25">
      <c r="B82" s="1101" t="s">
        <v>3426</v>
      </c>
      <c r="C82" s="1105">
        <f>MAX(G82:G113)-G82</f>
        <v>1226</v>
      </c>
      <c r="D82" s="1118">
        <f t="shared" si="32"/>
        <v>2581</v>
      </c>
      <c r="E82" s="1033">
        <v>43101</v>
      </c>
      <c r="F82" s="1034">
        <v>0.85</v>
      </c>
      <c r="G82" s="1095">
        <v>20994</v>
      </c>
      <c r="H82" s="1084">
        <f t="shared" si="31"/>
        <v>49</v>
      </c>
      <c r="I82" s="1085">
        <f t="shared" si="29"/>
        <v>2028.3439215799003</v>
      </c>
      <c r="J82" s="1098">
        <f t="shared" ref="J82:J106" si="33">I82*24/1000</f>
        <v>48.680254117917606</v>
      </c>
      <c r="K82" s="1084">
        <f t="shared" si="30"/>
        <v>1247</v>
      </c>
    </row>
    <row r="83" spans="2:11" x14ac:dyDescent="0.2">
      <c r="B83" s="1053" t="s">
        <v>3693</v>
      </c>
      <c r="C83" s="1068">
        <f>MIN(H82:H112)</f>
        <v>29</v>
      </c>
      <c r="D83" s="1118">
        <f t="shared" si="32"/>
        <v>2612</v>
      </c>
      <c r="E83" s="1033">
        <v>43102</v>
      </c>
      <c r="F83" s="1034">
        <v>0.72499999999999998</v>
      </c>
      <c r="G83" s="1095">
        <v>21025</v>
      </c>
      <c r="H83" s="1084">
        <f t="shared" si="31"/>
        <v>31</v>
      </c>
      <c r="I83" s="1085">
        <f t="shared" si="29"/>
        <v>1298.4293193717278</v>
      </c>
      <c r="J83" s="1098">
        <f t="shared" si="33"/>
        <v>31.16230366492147</v>
      </c>
      <c r="K83" s="1084">
        <f t="shared" si="30"/>
        <v>1234</v>
      </c>
    </row>
    <row r="84" spans="2:11" x14ac:dyDescent="0.2">
      <c r="B84" s="1053" t="s">
        <v>3692</v>
      </c>
      <c r="C84" s="1068">
        <f>MAX(H82:H112)</f>
        <v>56</v>
      </c>
      <c r="D84" s="1118">
        <f t="shared" si="32"/>
        <v>2652</v>
      </c>
      <c r="E84" s="1033">
        <v>43103</v>
      </c>
      <c r="F84" s="1034">
        <v>0.77361111111111114</v>
      </c>
      <c r="G84" s="1095">
        <v>21065</v>
      </c>
      <c r="H84" s="1084">
        <f t="shared" si="31"/>
        <v>40</v>
      </c>
      <c r="I84" s="1085">
        <f t="shared" si="29"/>
        <v>1663.2977187409761</v>
      </c>
      <c r="J84" s="1098">
        <f t="shared" si="33"/>
        <v>39.919145249783426</v>
      </c>
      <c r="K84" s="1084">
        <f t="shared" si="30"/>
        <v>1226</v>
      </c>
    </row>
    <row r="85" spans="2:11" ht="13.5" thickBot="1" x14ac:dyDescent="0.25">
      <c r="B85" s="1099" t="s">
        <v>3694</v>
      </c>
      <c r="C85" s="1100">
        <f>C82/COUNT(E82:E112)</f>
        <v>39.548387096774192</v>
      </c>
      <c r="D85" s="1118">
        <f t="shared" si="32"/>
        <v>2681</v>
      </c>
      <c r="E85" s="1033">
        <v>43104</v>
      </c>
      <c r="F85" s="1034">
        <v>0.66319444444444442</v>
      </c>
      <c r="G85" s="1095">
        <v>21094</v>
      </c>
      <c r="H85" s="1084">
        <f t="shared" si="31"/>
        <v>29</v>
      </c>
      <c r="I85" s="1085">
        <f t="shared" si="29"/>
        <v>1213.918200052324</v>
      </c>
      <c r="J85" s="1098">
        <f t="shared" si="33"/>
        <v>29.134036801255775</v>
      </c>
      <c r="K85" s="1084">
        <f t="shared" si="30"/>
        <v>1212</v>
      </c>
    </row>
    <row r="86" spans="2:11" x14ac:dyDescent="0.2">
      <c r="D86" s="1118">
        <f t="shared" si="32"/>
        <v>2716</v>
      </c>
      <c r="E86" s="1033">
        <v>43105</v>
      </c>
      <c r="F86" s="1034">
        <v>0.71180555555555547</v>
      </c>
      <c r="G86" s="1095">
        <v>21129</v>
      </c>
      <c r="H86" s="1084">
        <f t="shared" si="31"/>
        <v>35</v>
      </c>
      <c r="I86" s="1085">
        <f t="shared" si="29"/>
        <v>1455.385503898354</v>
      </c>
      <c r="J86" s="1098">
        <f t="shared" si="33"/>
        <v>34.9292520935605</v>
      </c>
      <c r="K86" s="1084">
        <f t="shared" si="30"/>
        <v>1204</v>
      </c>
    </row>
    <row r="87" spans="2:11" x14ac:dyDescent="0.2">
      <c r="D87" s="1118">
        <f t="shared" si="32"/>
        <v>2747</v>
      </c>
      <c r="E87" s="1033">
        <v>43106</v>
      </c>
      <c r="F87" s="1034">
        <v>0.71180555555555547</v>
      </c>
      <c r="G87" s="1095">
        <v>21160</v>
      </c>
      <c r="H87" s="1084">
        <f t="shared" si="31"/>
        <v>31</v>
      </c>
      <c r="I87" s="1085">
        <f t="shared" si="29"/>
        <v>1291.6666666666667</v>
      </c>
      <c r="J87" s="1098">
        <f t="shared" ref="J87" si="34">I87*24/1000</f>
        <v>31</v>
      </c>
      <c r="K87" s="1084">
        <f t="shared" si="30"/>
        <v>1190</v>
      </c>
    </row>
    <row r="88" spans="2:11" x14ac:dyDescent="0.2">
      <c r="D88" s="1118">
        <f t="shared" si="32"/>
        <v>2779</v>
      </c>
      <c r="E88" s="1033">
        <v>43107</v>
      </c>
      <c r="F88" s="1034">
        <v>0.68611111111111101</v>
      </c>
      <c r="G88" s="1095">
        <v>21192</v>
      </c>
      <c r="H88" s="1084">
        <f t="shared" si="31"/>
        <v>32</v>
      </c>
      <c r="I88" s="1085">
        <f t="shared" si="29"/>
        <v>1334.7623323581379</v>
      </c>
      <c r="J88" s="1098">
        <f t="shared" si="33"/>
        <v>32.03429597659531</v>
      </c>
      <c r="K88" s="1084">
        <f t="shared" si="30"/>
        <v>1189</v>
      </c>
    </row>
    <row r="89" spans="2:11" x14ac:dyDescent="0.2">
      <c r="D89" s="1118">
        <f t="shared" si="32"/>
        <v>2817</v>
      </c>
      <c r="E89" s="1033">
        <v>43108</v>
      </c>
      <c r="F89" s="1034">
        <v>0.7006944444444444</v>
      </c>
      <c r="G89" s="1095">
        <v>21230</v>
      </c>
      <c r="H89" s="1084">
        <f t="shared" si="31"/>
        <v>38</v>
      </c>
      <c r="I89" s="1085">
        <f t="shared" si="29"/>
        <v>1582.3718226771925</v>
      </c>
      <c r="J89" s="1098">
        <f t="shared" si="33"/>
        <v>37.976923744252623</v>
      </c>
      <c r="K89" s="1084">
        <f t="shared" si="30"/>
        <v>1190</v>
      </c>
    </row>
    <row r="90" spans="2:11" x14ac:dyDescent="0.2">
      <c r="D90" s="1118">
        <f t="shared" si="32"/>
        <v>2849</v>
      </c>
      <c r="E90" s="1033">
        <v>43109</v>
      </c>
      <c r="F90" s="1034">
        <v>0.69097222222222221</v>
      </c>
      <c r="G90" s="1095">
        <v>21262</v>
      </c>
      <c r="H90" s="1084">
        <f t="shared" si="31"/>
        <v>32</v>
      </c>
      <c r="I90" s="1085">
        <f t="shared" si="29"/>
        <v>1333.8736756788053</v>
      </c>
      <c r="J90" s="1098">
        <f t="shared" si="33"/>
        <v>32.012968216291327</v>
      </c>
      <c r="K90" s="1084">
        <f t="shared" si="30"/>
        <v>1182</v>
      </c>
    </row>
    <row r="91" spans="2:11" x14ac:dyDescent="0.2">
      <c r="D91" s="1118">
        <f t="shared" si="32"/>
        <v>2881</v>
      </c>
      <c r="E91" s="1033">
        <v>43110</v>
      </c>
      <c r="F91" s="1034">
        <v>0.69097222222222221</v>
      </c>
      <c r="G91" s="1095">
        <v>21294</v>
      </c>
      <c r="H91" s="1084">
        <f t="shared" si="31"/>
        <v>32</v>
      </c>
      <c r="I91" s="1085">
        <f t="shared" si="29"/>
        <v>1333.3333333333333</v>
      </c>
      <c r="J91" s="1098">
        <f t="shared" ref="J91" si="35">I91*24/1000</f>
        <v>32</v>
      </c>
      <c r="K91" s="1084">
        <f t="shared" si="30"/>
        <v>1160</v>
      </c>
    </row>
    <row r="92" spans="2:11" x14ac:dyDescent="0.2">
      <c r="D92" s="1118">
        <f t="shared" si="32"/>
        <v>2913</v>
      </c>
      <c r="E92" s="1033">
        <v>43111</v>
      </c>
      <c r="F92" s="1034">
        <v>0.69305555555555554</v>
      </c>
      <c r="G92" s="1095">
        <v>21326</v>
      </c>
      <c r="H92" s="1084">
        <f t="shared" si="31"/>
        <v>32</v>
      </c>
      <c r="I92" s="1085">
        <f t="shared" si="29"/>
        <v>1333.2176026386596</v>
      </c>
      <c r="J92" s="1098">
        <f t="shared" si="33"/>
        <v>31.99722246332783</v>
      </c>
      <c r="K92" s="1084">
        <f t="shared" si="30"/>
        <v>1158</v>
      </c>
    </row>
    <row r="93" spans="2:11" x14ac:dyDescent="0.2">
      <c r="D93" s="1118">
        <f t="shared" si="32"/>
        <v>2956</v>
      </c>
      <c r="E93" s="1033">
        <v>43112</v>
      </c>
      <c r="F93" s="1034">
        <v>0.71180555555555547</v>
      </c>
      <c r="G93" s="1095">
        <v>21369</v>
      </c>
      <c r="H93" s="1084">
        <f t="shared" si="31"/>
        <v>43</v>
      </c>
      <c r="I93" s="1085">
        <f t="shared" si="29"/>
        <v>1790.2680197762163</v>
      </c>
      <c r="J93" s="1098">
        <f t="shared" si="33"/>
        <v>42.966432474629187</v>
      </c>
      <c r="K93" s="1084">
        <f t="shared" si="30"/>
        <v>1164</v>
      </c>
    </row>
    <row r="94" spans="2:11" x14ac:dyDescent="0.2">
      <c r="D94" s="1118">
        <f t="shared" si="32"/>
        <v>2993</v>
      </c>
      <c r="E94" s="1033">
        <v>43113</v>
      </c>
      <c r="F94" s="1034">
        <v>0.6972222222222223</v>
      </c>
      <c r="G94" s="1095">
        <v>21406</v>
      </c>
      <c r="H94" s="1084">
        <f t="shared" si="31"/>
        <v>37</v>
      </c>
      <c r="I94" s="1085">
        <f t="shared" si="29"/>
        <v>1542.6040128550335</v>
      </c>
      <c r="J94" s="1098">
        <f t="shared" si="33"/>
        <v>37.0224963085208</v>
      </c>
      <c r="K94" s="1084">
        <f t="shared" si="30"/>
        <v>1160</v>
      </c>
    </row>
    <row r="95" spans="2:11" x14ac:dyDescent="0.2">
      <c r="D95" s="1118">
        <f t="shared" si="32"/>
        <v>3037</v>
      </c>
      <c r="E95" s="1033">
        <v>43114</v>
      </c>
      <c r="F95" s="1034">
        <v>0.6972222222222223</v>
      </c>
      <c r="G95" s="1095">
        <v>21450</v>
      </c>
      <c r="H95" s="1084">
        <f t="shared" si="31"/>
        <v>44</v>
      </c>
      <c r="I95" s="1085">
        <f t="shared" si="29"/>
        <v>1833.3333333333333</v>
      </c>
      <c r="J95" s="1098">
        <f t="shared" ref="J95" si="36">I95*24/1000</f>
        <v>44</v>
      </c>
      <c r="K95" s="1084">
        <f t="shared" si="30"/>
        <v>1167</v>
      </c>
    </row>
    <row r="96" spans="2:11" x14ac:dyDescent="0.2">
      <c r="D96" s="1118">
        <f t="shared" si="32"/>
        <v>3085</v>
      </c>
      <c r="E96" s="1033">
        <v>43115</v>
      </c>
      <c r="F96" s="1034">
        <v>0.68611111111111101</v>
      </c>
      <c r="G96" s="1095">
        <v>21498</v>
      </c>
      <c r="H96" s="1084">
        <f t="shared" si="31"/>
        <v>48</v>
      </c>
      <c r="I96" s="1085">
        <f t="shared" ref="I96:I104" si="37">H96/((E96-E95)*24+(F96-F95))*1000</f>
        <v>2000.926354793886</v>
      </c>
      <c r="J96" s="1098">
        <f t="shared" si="33"/>
        <v>48.022232515053261</v>
      </c>
      <c r="K96" s="1084">
        <f t="shared" ref="K96:K104" si="38">G96-G66</f>
        <v>1171</v>
      </c>
    </row>
    <row r="97" spans="4:11" x14ac:dyDescent="0.2">
      <c r="D97" s="1118">
        <f t="shared" si="32"/>
        <v>3141</v>
      </c>
      <c r="E97" s="1033">
        <v>43116</v>
      </c>
      <c r="F97" s="1034">
        <v>0.69791666666666663</v>
      </c>
      <c r="G97" s="1095">
        <v>21554</v>
      </c>
      <c r="H97" s="1084">
        <f t="shared" ref="H97:H106" si="39">G97-G96</f>
        <v>56</v>
      </c>
      <c r="I97" s="1085">
        <f t="shared" si="37"/>
        <v>2332.1861352922465</v>
      </c>
      <c r="J97" s="1098">
        <f t="shared" si="33"/>
        <v>55.972467247013917</v>
      </c>
      <c r="K97" s="1084">
        <f t="shared" si="38"/>
        <v>1190</v>
      </c>
    </row>
    <row r="98" spans="4:11" x14ac:dyDescent="0.2">
      <c r="D98" s="1118">
        <f t="shared" si="32"/>
        <v>3189</v>
      </c>
      <c r="E98" s="1033">
        <v>43117</v>
      </c>
      <c r="F98" s="1034">
        <v>0.7090277777777777</v>
      </c>
      <c r="G98" s="1095">
        <v>21602</v>
      </c>
      <c r="H98" s="1084">
        <f t="shared" si="39"/>
        <v>48</v>
      </c>
      <c r="I98" s="1085">
        <f t="shared" si="37"/>
        <v>1999.0745025451179</v>
      </c>
      <c r="J98" s="1098">
        <f t="shared" si="33"/>
        <v>47.977788061082826</v>
      </c>
      <c r="K98" s="1084">
        <f t="shared" si="38"/>
        <v>1190</v>
      </c>
    </row>
    <row r="99" spans="4:11" x14ac:dyDescent="0.2">
      <c r="D99" s="1118">
        <f t="shared" si="32"/>
        <v>3229</v>
      </c>
      <c r="E99" s="1033">
        <v>43118</v>
      </c>
      <c r="F99" s="1034">
        <v>0.68472222222222223</v>
      </c>
      <c r="G99" s="1095">
        <v>21642</v>
      </c>
      <c r="H99" s="1084">
        <f t="shared" si="39"/>
        <v>40</v>
      </c>
      <c r="I99" s="1085">
        <f t="shared" si="37"/>
        <v>1668.3562635771182</v>
      </c>
      <c r="J99" s="1098">
        <f t="shared" si="33"/>
        <v>40.040550325850838</v>
      </c>
      <c r="K99" s="1084">
        <f t="shared" si="38"/>
        <v>1183</v>
      </c>
    </row>
    <row r="100" spans="4:11" x14ac:dyDescent="0.2">
      <c r="D100" s="1118">
        <f t="shared" si="32"/>
        <v>3273</v>
      </c>
      <c r="E100" s="1033">
        <v>43119</v>
      </c>
      <c r="F100" s="1034">
        <v>0.70138888888888884</v>
      </c>
      <c r="G100" s="1095">
        <v>21686</v>
      </c>
      <c r="H100" s="1084">
        <f t="shared" si="39"/>
        <v>44</v>
      </c>
      <c r="I100" s="1085">
        <f t="shared" si="37"/>
        <v>1832.0610687022902</v>
      </c>
      <c r="J100" s="1098">
        <f t="shared" si="33"/>
        <v>43.969465648854964</v>
      </c>
      <c r="K100" s="1084">
        <f t="shared" si="38"/>
        <v>1176</v>
      </c>
    </row>
    <row r="101" spans="4:11" x14ac:dyDescent="0.2">
      <c r="D101" s="1118">
        <f t="shared" si="32"/>
        <v>3320</v>
      </c>
      <c r="E101" s="1033">
        <v>43120</v>
      </c>
      <c r="F101" s="1034">
        <v>0.77847222222222223</v>
      </c>
      <c r="G101" s="1095">
        <v>21733</v>
      </c>
      <c r="H101" s="1084">
        <f t="shared" si="39"/>
        <v>47</v>
      </c>
      <c r="I101" s="1085">
        <f t="shared" si="37"/>
        <v>1952.0636843471489</v>
      </c>
      <c r="J101" s="1098">
        <f t="shared" si="33"/>
        <v>46.849528424331567</v>
      </c>
      <c r="K101" s="1084">
        <f t="shared" si="38"/>
        <v>1164</v>
      </c>
    </row>
    <row r="102" spans="4:11" x14ac:dyDescent="0.2">
      <c r="D102" s="1118">
        <f t="shared" si="32"/>
        <v>3361</v>
      </c>
      <c r="E102" s="1033">
        <v>43121</v>
      </c>
      <c r="F102" s="1034">
        <v>0.75347222222222221</v>
      </c>
      <c r="G102" s="1095">
        <v>21774</v>
      </c>
      <c r="H102" s="1084">
        <f t="shared" si="39"/>
        <v>41</v>
      </c>
      <c r="I102" s="1085">
        <f t="shared" si="37"/>
        <v>1710.1147028154326</v>
      </c>
      <c r="J102" s="1098">
        <f t="shared" si="33"/>
        <v>41.042752867570378</v>
      </c>
      <c r="K102" s="1084">
        <f t="shared" si="38"/>
        <v>1164</v>
      </c>
    </row>
    <row r="103" spans="4:11" x14ac:dyDescent="0.2">
      <c r="D103" s="1118">
        <f t="shared" si="32"/>
        <v>3409</v>
      </c>
      <c r="E103" s="1033">
        <v>43122</v>
      </c>
      <c r="F103" s="1034">
        <v>0.71527777777777779</v>
      </c>
      <c r="G103" s="1095">
        <v>21822</v>
      </c>
      <c r="H103" s="1084">
        <f t="shared" si="39"/>
        <v>48</v>
      </c>
      <c r="I103" s="1085">
        <f t="shared" si="37"/>
        <v>2003.1879437762643</v>
      </c>
      <c r="J103" s="1098">
        <f t="shared" si="33"/>
        <v>48.07651065063034</v>
      </c>
      <c r="K103" s="1084">
        <f t="shared" si="38"/>
        <v>1170</v>
      </c>
    </row>
    <row r="104" spans="4:11" x14ac:dyDescent="0.2">
      <c r="D104" s="1118">
        <f t="shared" si="32"/>
        <v>3458</v>
      </c>
      <c r="E104" s="1033">
        <v>43123</v>
      </c>
      <c r="F104" s="1034">
        <v>0.69374999999999998</v>
      </c>
      <c r="G104" s="1095">
        <v>21871</v>
      </c>
      <c r="H104" s="1084">
        <f t="shared" si="39"/>
        <v>49</v>
      </c>
      <c r="I104" s="1085">
        <f t="shared" si="37"/>
        <v>2043.4996669466243</v>
      </c>
      <c r="J104" s="1098">
        <f t="shared" si="33"/>
        <v>49.04399200671898</v>
      </c>
      <c r="K104" s="1084">
        <f t="shared" si="38"/>
        <v>1183</v>
      </c>
    </row>
    <row r="105" spans="4:11" x14ac:dyDescent="0.2">
      <c r="D105" s="1118">
        <f t="shared" si="32"/>
        <v>3506</v>
      </c>
      <c r="E105" s="1033">
        <v>43124</v>
      </c>
      <c r="F105" s="1034">
        <v>0.72986111111111107</v>
      </c>
      <c r="G105" s="1095">
        <v>21919</v>
      </c>
      <c r="H105" s="1084">
        <f t="shared" si="39"/>
        <v>48</v>
      </c>
      <c r="I105" s="1085">
        <f t="shared" ref="I105" si="40">H105/((E105-E104)*24+(F105-F104))*1000</f>
        <v>1996.9952617589274</v>
      </c>
      <c r="J105" s="1098">
        <f t="shared" si="33"/>
        <v>47.927886282214253</v>
      </c>
      <c r="K105" s="1084">
        <f t="shared" ref="K105" si="41">G105-G75</f>
        <v>1197</v>
      </c>
    </row>
    <row r="106" spans="4:11" x14ac:dyDescent="0.2">
      <c r="D106" s="1118">
        <f t="shared" si="32"/>
        <v>3543</v>
      </c>
      <c r="E106" s="1033">
        <v>43125</v>
      </c>
      <c r="F106" s="1034">
        <v>0.68611111111111101</v>
      </c>
      <c r="G106" s="1095">
        <v>21956</v>
      </c>
      <c r="H106" s="1084">
        <f t="shared" si="39"/>
        <v>37</v>
      </c>
      <c r="I106" s="1085">
        <f t="shared" ref="I106" si="42">H106/((E106-E105)*24+(F106-F105))*1000</f>
        <v>1544.4821288807723</v>
      </c>
      <c r="J106" s="1098">
        <f t="shared" si="33"/>
        <v>37.067571093138532</v>
      </c>
      <c r="K106" s="1084">
        <f t="shared" ref="K106" si="43">G106-G76</f>
        <v>1200</v>
      </c>
    </row>
    <row r="107" spans="4:11" x14ac:dyDescent="0.2">
      <c r="D107" s="1118">
        <f t="shared" si="32"/>
        <v>3594</v>
      </c>
      <c r="E107" s="1033">
        <v>43126</v>
      </c>
      <c r="F107" s="1034">
        <v>0.70833333333333337</v>
      </c>
      <c r="G107" s="1095">
        <v>22007</v>
      </c>
      <c r="H107" s="1084">
        <f t="shared" ref="H107" si="44">G107-G106</f>
        <v>51</v>
      </c>
      <c r="I107" s="1085">
        <f t="shared" ref="I107" si="45">H107/((E107-E106)*24+(F107-F106))*1000</f>
        <v>2123.0342275670673</v>
      </c>
      <c r="J107" s="1098">
        <f t="shared" ref="J107" si="46">I107*24/1000</f>
        <v>50.952821461609616</v>
      </c>
      <c r="K107" s="1084">
        <f t="shared" ref="K107" si="47">G107-G77</f>
        <v>1217</v>
      </c>
    </row>
    <row r="108" spans="4:11" x14ac:dyDescent="0.2">
      <c r="D108" s="1118">
        <f t="shared" si="32"/>
        <v>3635</v>
      </c>
      <c r="E108" s="1033">
        <v>43127</v>
      </c>
      <c r="F108" s="1034">
        <v>0.77708333333333324</v>
      </c>
      <c r="G108" s="1095">
        <v>22048</v>
      </c>
      <c r="H108" s="1084">
        <f t="shared" ref="H108" si="48">G108-G107</f>
        <v>41</v>
      </c>
      <c r="I108" s="1085">
        <f t="shared" ref="I108" si="49">H108/((E108-E107)*24+(F108-F107))*1000</f>
        <v>1703.453648403012</v>
      </c>
      <c r="J108" s="1098">
        <f t="shared" ref="J108" si="50">I108*24/1000</f>
        <v>40.882887561672284</v>
      </c>
      <c r="K108" s="1084">
        <f t="shared" ref="K108" si="51">G108-G78</f>
        <v>1223</v>
      </c>
    </row>
    <row r="109" spans="4:11" x14ac:dyDescent="0.2">
      <c r="D109" s="1118">
        <f t="shared" si="32"/>
        <v>3670</v>
      </c>
      <c r="E109" s="1033">
        <v>43128</v>
      </c>
      <c r="F109" s="1034">
        <v>0.70763888888888893</v>
      </c>
      <c r="G109" s="1095">
        <v>22083</v>
      </c>
      <c r="H109" s="1084">
        <f t="shared" ref="H109" si="52">G109-G108</f>
        <v>35</v>
      </c>
      <c r="I109" s="1085">
        <f t="shared" ref="I109" si="53">H109/((E109-E108)*24+(F109-F108))*1000</f>
        <v>1462.5652930934416</v>
      </c>
      <c r="J109" s="1098">
        <f t="shared" ref="J109" si="54">I109*24/1000</f>
        <v>35.101567034242599</v>
      </c>
      <c r="K109" s="1084">
        <f t="shared" ref="K109" si="55">G109-G79</f>
        <v>1225</v>
      </c>
    </row>
    <row r="110" spans="4:11" x14ac:dyDescent="0.2">
      <c r="D110" s="1118">
        <f t="shared" si="32"/>
        <v>3700</v>
      </c>
      <c r="E110" s="1033">
        <v>43129</v>
      </c>
      <c r="F110" s="1034">
        <v>0.69166666666666676</v>
      </c>
      <c r="G110" s="1095">
        <v>22113</v>
      </c>
      <c r="H110" s="1084">
        <f t="shared" ref="H110" si="56">G110-G109</f>
        <v>30</v>
      </c>
      <c r="I110" s="1085">
        <f t="shared" ref="I110" si="57">H110/((E110-E109)*24+(F110-F109))*1000</f>
        <v>1250.8324405709818</v>
      </c>
      <c r="J110" s="1098">
        <f t="shared" ref="J110" si="58">I110*24/1000</f>
        <v>30.019978573703565</v>
      </c>
      <c r="K110" s="1084">
        <f t="shared" ref="K110" si="59">G110-G80</f>
        <v>1218</v>
      </c>
    </row>
    <row r="111" spans="4:11" x14ac:dyDescent="0.2">
      <c r="D111" s="1118">
        <f t="shared" si="32"/>
        <v>3729</v>
      </c>
      <c r="E111" s="1033">
        <v>43130</v>
      </c>
      <c r="F111" s="1034">
        <v>0.71180555555555547</v>
      </c>
      <c r="G111" s="1095">
        <v>22142</v>
      </c>
      <c r="H111" s="1084">
        <f t="shared" ref="H111" si="60">G111-G110</f>
        <v>29</v>
      </c>
      <c r="I111" s="1085">
        <f t="shared" ref="I111" si="61">H111/((E111-E110)*24+(F111-F110))*1000</f>
        <v>1207.3202463210848</v>
      </c>
      <c r="J111" s="1098">
        <f t="shared" ref="J111" si="62">I111*24/1000</f>
        <v>28.975685911706037</v>
      </c>
      <c r="K111" s="1084">
        <f t="shared" ref="K111" si="63">G111-G81</f>
        <v>1197</v>
      </c>
    </row>
    <row r="112" spans="4:11" ht="13.5" thickBot="1" x14ac:dyDescent="0.25">
      <c r="D112" s="1118">
        <f t="shared" si="32"/>
        <v>3773</v>
      </c>
      <c r="E112" s="1033">
        <v>43131</v>
      </c>
      <c r="F112" s="1034">
        <v>0.67291666666666661</v>
      </c>
      <c r="G112" s="1095">
        <v>22186</v>
      </c>
      <c r="H112" s="1084">
        <f t="shared" ref="H112" si="64">G112-G111</f>
        <v>44</v>
      </c>
      <c r="I112" s="1085">
        <f t="shared" ref="I112" si="65">H112/((E112-E111)*24+(F112-F111))*1000</f>
        <v>1836.3088337584047</v>
      </c>
      <c r="J112" s="1098">
        <f t="shared" ref="J112" si="66">I112*24/1000</f>
        <v>44.071412010201712</v>
      </c>
      <c r="K112" s="1084">
        <f t="shared" ref="K112" si="67">G112-G82</f>
        <v>1192</v>
      </c>
    </row>
    <row r="113" spans="2:11" ht="13.5" thickBot="1" x14ac:dyDescent="0.25">
      <c r="B113" s="1101" t="s">
        <v>3427</v>
      </c>
      <c r="C113" s="1105">
        <f>MAX(G113:G141)-G113</f>
        <v>1263</v>
      </c>
      <c r="D113" s="1118">
        <f t="shared" si="32"/>
        <v>3807</v>
      </c>
      <c r="E113" s="1033">
        <v>43132</v>
      </c>
      <c r="F113" s="1034">
        <v>0.67291666666666661</v>
      </c>
      <c r="G113" s="1095">
        <v>22220</v>
      </c>
      <c r="H113" s="1084">
        <f t="shared" ref="H113" si="68">G113-G112</f>
        <v>34</v>
      </c>
      <c r="I113" s="1085">
        <f t="shared" ref="I113" si="69">H113/((E113-E112)*24+(F113-F112))*1000</f>
        <v>1416.6666666666667</v>
      </c>
      <c r="J113" s="1098">
        <f t="shared" ref="J113" si="70">I113*24/1000</f>
        <v>34</v>
      </c>
      <c r="K113" s="1084">
        <f t="shared" ref="K113" si="71">G113-G83</f>
        <v>1195</v>
      </c>
    </row>
    <row r="114" spans="2:11" x14ac:dyDescent="0.2">
      <c r="B114" s="1053" t="s">
        <v>3693</v>
      </c>
      <c r="C114" s="1068">
        <f>MIN(H113:H140)</f>
        <v>27</v>
      </c>
      <c r="D114" s="1118">
        <f t="shared" si="32"/>
        <v>3843</v>
      </c>
      <c r="E114" s="1033">
        <v>43133</v>
      </c>
      <c r="F114" s="1034">
        <v>0.67291666666666661</v>
      </c>
      <c r="G114" s="1095">
        <v>22256</v>
      </c>
      <c r="H114" s="1084">
        <f t="shared" ref="H114" si="72">G114-G113</f>
        <v>36</v>
      </c>
      <c r="I114" s="1085">
        <f t="shared" ref="I114" si="73">H114/((E114-E113)*24+(F114-F113))*1000</f>
        <v>1500</v>
      </c>
      <c r="J114" s="1098">
        <f t="shared" ref="J114" si="74">I114*24/1000</f>
        <v>36</v>
      </c>
      <c r="K114" s="1084">
        <f t="shared" ref="K114" si="75">G114-G84</f>
        <v>1191</v>
      </c>
    </row>
    <row r="115" spans="2:11" x14ac:dyDescent="0.2">
      <c r="B115" s="1053" t="s">
        <v>3692</v>
      </c>
      <c r="C115" s="1068">
        <f>MAX(H113:H140)</f>
        <v>66</v>
      </c>
      <c r="D115" s="1118">
        <f t="shared" si="32"/>
        <v>3877</v>
      </c>
      <c r="E115" s="1033">
        <v>43134</v>
      </c>
      <c r="F115" s="1034">
        <v>0.67291666666666661</v>
      </c>
      <c r="G115" s="1095">
        <v>22290</v>
      </c>
      <c r="H115" s="1084">
        <f t="shared" ref="H115:H116" si="76">G115-G114</f>
        <v>34</v>
      </c>
      <c r="I115" s="1085">
        <f t="shared" ref="I115" si="77">H115/((E115-E114)*24+(F115-F114))*1000</f>
        <v>1416.6666666666667</v>
      </c>
      <c r="J115" s="1098">
        <f t="shared" ref="J115" si="78">I115*24/1000</f>
        <v>34</v>
      </c>
      <c r="K115" s="1084">
        <f t="shared" ref="K115" si="79">G115-G85</f>
        <v>1196</v>
      </c>
    </row>
    <row r="116" spans="2:11" ht="13.5" thickBot="1" x14ac:dyDescent="0.25">
      <c r="B116" s="1099" t="s">
        <v>3694</v>
      </c>
      <c r="C116" s="1100">
        <f>C113/COUNT(E113:E140)</f>
        <v>45.107142857142854</v>
      </c>
      <c r="D116" s="1118">
        <f t="shared" si="32"/>
        <v>3914</v>
      </c>
      <c r="E116" s="1033">
        <v>43135</v>
      </c>
      <c r="F116" s="1034">
        <v>0.70416666666666661</v>
      </c>
      <c r="G116" s="1095">
        <v>22327</v>
      </c>
      <c r="H116" s="1084">
        <f t="shared" si="76"/>
        <v>37</v>
      </c>
      <c r="I116" s="1085">
        <f t="shared" ref="I116" si="80">H116/((E116-E115)*24+(F116-F115))*1000</f>
        <v>1539.6618985695709</v>
      </c>
      <c r="J116" s="1098">
        <f t="shared" ref="J116" si="81">I116*24/1000</f>
        <v>36.951885565669699</v>
      </c>
      <c r="K116" s="1084">
        <f t="shared" ref="K116" si="82">G116-G86</f>
        <v>1198</v>
      </c>
    </row>
    <row r="117" spans="2:11" x14ac:dyDescent="0.2">
      <c r="D117" s="1118">
        <f t="shared" si="32"/>
        <v>3960</v>
      </c>
      <c r="E117" s="1033">
        <v>43136</v>
      </c>
      <c r="F117" s="1034">
        <v>0.72916666666666663</v>
      </c>
      <c r="G117" s="1095">
        <v>22373</v>
      </c>
      <c r="H117" s="1084">
        <f t="shared" ref="H117" si="83">G117-G116</f>
        <v>46</v>
      </c>
      <c r="I117" s="1085">
        <f t="shared" ref="I117" si="84">H117/((E117-E116)*24+(F117-F116))*1000</f>
        <v>1914.6722164412072</v>
      </c>
      <c r="J117" s="1098">
        <f t="shared" ref="J117" si="85">I117*24/1000</f>
        <v>45.952133194588967</v>
      </c>
      <c r="K117" s="1084">
        <f t="shared" ref="K117" si="86">G117-G87</f>
        <v>1213</v>
      </c>
    </row>
    <row r="118" spans="2:11" x14ac:dyDescent="0.2">
      <c r="D118" s="1118">
        <f t="shared" si="32"/>
        <v>4011</v>
      </c>
      <c r="E118" s="1033">
        <v>43137</v>
      </c>
      <c r="F118" s="1034">
        <v>0.71111111111111114</v>
      </c>
      <c r="G118" s="1095">
        <v>22424</v>
      </c>
      <c r="H118" s="1084">
        <f t="shared" ref="H118" si="87">G118-G117</f>
        <v>51</v>
      </c>
      <c r="I118" s="1085">
        <f t="shared" ref="I118" si="88">H118/((E118-E117)*24+(F118-F117))*1000</f>
        <v>2126.5998725893323</v>
      </c>
      <c r="J118" s="1098">
        <f t="shared" ref="J118" si="89">I118*24/1000</f>
        <v>51.038396942143976</v>
      </c>
      <c r="K118" s="1084">
        <f t="shared" ref="K118" si="90">G118-G88</f>
        <v>1232</v>
      </c>
    </row>
    <row r="119" spans="2:11" x14ac:dyDescent="0.2">
      <c r="D119" s="1118">
        <f t="shared" si="32"/>
        <v>4059</v>
      </c>
      <c r="E119" s="1033">
        <v>43138</v>
      </c>
      <c r="F119" s="1034">
        <v>0.72083333333333333</v>
      </c>
      <c r="G119" s="1095">
        <v>22472</v>
      </c>
      <c r="H119" s="1084">
        <f t="shared" ref="H119:H120" si="91">G119-G118</f>
        <v>48</v>
      </c>
      <c r="I119" s="1085">
        <f t="shared" ref="I119:I120" si="92">H119/((E119-E118)*24+(F119-F118))*1000</f>
        <v>1999.1901428819342</v>
      </c>
      <c r="J119" s="1098">
        <f t="shared" ref="J119:J120" si="93">I119*24/1000</f>
        <v>47.980563429166416</v>
      </c>
      <c r="K119" s="1084">
        <f t="shared" ref="K119:K120" si="94">G119-G89</f>
        <v>1242</v>
      </c>
    </row>
    <row r="120" spans="2:11" x14ac:dyDescent="0.2">
      <c r="D120" s="1118">
        <f t="shared" si="32"/>
        <v>4102</v>
      </c>
      <c r="E120" s="1033">
        <v>43139</v>
      </c>
      <c r="F120" s="1034">
        <v>0.72083333333333333</v>
      </c>
      <c r="G120" s="1095">
        <v>22515</v>
      </c>
      <c r="H120" s="1084">
        <f t="shared" si="91"/>
        <v>43</v>
      </c>
      <c r="I120" s="1085">
        <f t="shared" si="92"/>
        <v>1791.6666666666667</v>
      </c>
      <c r="J120" s="1098">
        <f t="shared" si="93"/>
        <v>43</v>
      </c>
      <c r="K120" s="1084">
        <f t="shared" si="94"/>
        <v>1253</v>
      </c>
    </row>
    <row r="121" spans="2:11" x14ac:dyDescent="0.2">
      <c r="D121" s="1118">
        <f t="shared" si="32"/>
        <v>4145</v>
      </c>
      <c r="E121" s="1033">
        <v>43140</v>
      </c>
      <c r="F121" s="1034">
        <v>0.71527777777777779</v>
      </c>
      <c r="G121" s="1095">
        <v>22558</v>
      </c>
      <c r="H121" s="1084">
        <f t="shared" ref="H121" si="95">G121-G120</f>
        <v>43</v>
      </c>
      <c r="I121" s="1085">
        <f t="shared" ref="I121" si="96">H121/((E121-E120)*24+(F121-F120))*1000</f>
        <v>1792.0815003473028</v>
      </c>
      <c r="J121" s="1098">
        <f t="shared" ref="J121" si="97">I121*24/1000</f>
        <v>43.009956008335273</v>
      </c>
      <c r="K121" s="1084">
        <f t="shared" ref="K121" si="98">G121-G91</f>
        <v>1264</v>
      </c>
    </row>
    <row r="122" spans="2:11" x14ac:dyDescent="0.2">
      <c r="D122" s="1118">
        <f t="shared" si="32"/>
        <v>4175</v>
      </c>
      <c r="E122" s="1033">
        <v>43141</v>
      </c>
      <c r="F122" s="1034">
        <v>0.70624999999999993</v>
      </c>
      <c r="G122" s="1095">
        <v>22588</v>
      </c>
      <c r="H122" s="1084">
        <f t="shared" ref="H122:H123" si="99">G122-G121</f>
        <v>30</v>
      </c>
      <c r="I122" s="1085">
        <f t="shared" ref="I122:I123" si="100">H122/((E122-E121)*24+(F122-F121))*1000</f>
        <v>1250.4703736938086</v>
      </c>
      <c r="J122" s="1098">
        <f t="shared" ref="J122:J123" si="101">I122*24/1000</f>
        <v>30.011288968651407</v>
      </c>
      <c r="K122" s="1084">
        <f t="shared" ref="K122:K123" si="102">G122-G92</f>
        <v>1262</v>
      </c>
    </row>
    <row r="123" spans="2:11" x14ac:dyDescent="0.2">
      <c r="D123" s="1118">
        <f t="shared" si="32"/>
        <v>4222</v>
      </c>
      <c r="E123" s="1033">
        <v>43142</v>
      </c>
      <c r="F123" s="1034">
        <v>0.75</v>
      </c>
      <c r="G123" s="1095">
        <v>22635</v>
      </c>
      <c r="H123" s="1084">
        <f t="shared" si="99"/>
        <v>47</v>
      </c>
      <c r="I123" s="1085">
        <f t="shared" si="100"/>
        <v>1954.7699506108656</v>
      </c>
      <c r="J123" s="1098">
        <f t="shared" si="101"/>
        <v>46.914478814660775</v>
      </c>
      <c r="K123" s="1084">
        <f t="shared" si="102"/>
        <v>1266</v>
      </c>
    </row>
    <row r="124" spans="2:11" x14ac:dyDescent="0.2">
      <c r="D124" s="1118">
        <f t="shared" si="32"/>
        <v>4273</v>
      </c>
      <c r="E124" s="1033">
        <v>43143</v>
      </c>
      <c r="F124" s="1034">
        <v>0.79166666666666663</v>
      </c>
      <c r="G124" s="1095">
        <v>22686</v>
      </c>
      <c r="H124" s="1084">
        <f t="shared" ref="H124" si="103">G124-G123</f>
        <v>51</v>
      </c>
      <c r="I124" s="1085">
        <f t="shared" ref="I124" si="104">H124/((E124-E123)*24+(F124-F123))*1000</f>
        <v>2121.3171577123048</v>
      </c>
      <c r="J124" s="1098">
        <f t="shared" ref="J124" si="105">I124*24/1000</f>
        <v>50.911611785095317</v>
      </c>
      <c r="K124" s="1084">
        <f t="shared" ref="K124" si="106">G124-G94</f>
        <v>1280</v>
      </c>
    </row>
    <row r="125" spans="2:11" x14ac:dyDescent="0.2">
      <c r="D125" s="1118">
        <f t="shared" si="32"/>
        <v>4313</v>
      </c>
      <c r="E125" s="1033">
        <v>43144</v>
      </c>
      <c r="F125" s="1034">
        <v>0.69513888888888886</v>
      </c>
      <c r="G125" s="1095">
        <v>22726</v>
      </c>
      <c r="H125" s="1084">
        <f t="shared" ref="H125" si="107">G125-G124</f>
        <v>40</v>
      </c>
      <c r="I125" s="1085">
        <f t="shared" ref="I125" si="108">H125/((E125-E124)*24+(F125-F124))*1000</f>
        <v>1673.3970541239357</v>
      </c>
      <c r="J125" s="1098">
        <f t="shared" ref="J125" si="109">I125*24/1000</f>
        <v>40.161529298974457</v>
      </c>
      <c r="K125" s="1084">
        <f t="shared" ref="K125" si="110">G125-G95</f>
        <v>1276</v>
      </c>
    </row>
    <row r="126" spans="2:11" x14ac:dyDescent="0.2">
      <c r="D126" s="1118">
        <f t="shared" si="32"/>
        <v>4355</v>
      </c>
      <c r="E126" s="1033">
        <v>43145</v>
      </c>
      <c r="F126" s="1034">
        <v>0.69791666666666663</v>
      </c>
      <c r="G126" s="1095">
        <v>22768</v>
      </c>
      <c r="H126" s="1084">
        <f t="shared" ref="H126" si="111">G126-G125</f>
        <v>42</v>
      </c>
      <c r="I126" s="1085">
        <f t="shared" ref="I126" si="112">H126/((E126-E125)*24+(F126-F125))*1000</f>
        <v>1749.7974771438492</v>
      </c>
      <c r="J126" s="1098">
        <f t="shared" ref="J126" si="113">I126*24/1000</f>
        <v>41.995139451452381</v>
      </c>
      <c r="K126" s="1084">
        <f t="shared" ref="K126" si="114">G126-G96</f>
        <v>1270</v>
      </c>
    </row>
    <row r="127" spans="2:11" x14ac:dyDescent="0.2">
      <c r="D127" s="1118">
        <f t="shared" si="32"/>
        <v>4402</v>
      </c>
      <c r="E127" s="1033">
        <v>43146</v>
      </c>
      <c r="F127" s="1034">
        <v>0.9159722222222223</v>
      </c>
      <c r="G127" s="1095">
        <v>22815</v>
      </c>
      <c r="H127" s="1084">
        <f t="shared" ref="H127" si="115">G127-G126</f>
        <v>47</v>
      </c>
      <c r="I127" s="1085">
        <f t="shared" ref="I127" si="116">H127/((E127-E126)*24+(F127-F126))*1000</f>
        <v>1940.700808625337</v>
      </c>
      <c r="J127" s="1098">
        <f t="shared" ref="J127" si="117">I127*24/1000</f>
        <v>46.576819407008088</v>
      </c>
      <c r="K127" s="1084">
        <f t="shared" ref="K127" si="118">G127-G97</f>
        <v>1261</v>
      </c>
    </row>
    <row r="128" spans="2:11" x14ac:dyDescent="0.2">
      <c r="D128" s="1118">
        <f t="shared" si="32"/>
        <v>4441</v>
      </c>
      <c r="E128" s="1033">
        <v>43147</v>
      </c>
      <c r="F128" s="1034">
        <v>0.72638888888888886</v>
      </c>
      <c r="G128" s="1095">
        <v>22854</v>
      </c>
      <c r="H128" s="1084">
        <f t="shared" ref="H128" si="119">G128-G127</f>
        <v>39</v>
      </c>
      <c r="I128" s="1085">
        <f t="shared" ref="I128" si="120">H128/((E128-E127)*24+(F128-F127))*1000</f>
        <v>1637.9385773033512</v>
      </c>
      <c r="J128" s="1098">
        <f t="shared" ref="J128" si="121">I128*24/1000</f>
        <v>39.310525855280432</v>
      </c>
      <c r="K128" s="1084">
        <f t="shared" ref="K128" si="122">G128-G98</f>
        <v>1252</v>
      </c>
    </row>
    <row r="129" spans="2:11" x14ac:dyDescent="0.2">
      <c r="D129" s="1118">
        <f t="shared" si="32"/>
        <v>4487</v>
      </c>
      <c r="E129" s="1033">
        <v>43148</v>
      </c>
      <c r="F129" s="1034">
        <v>0.72638888888888886</v>
      </c>
      <c r="G129" s="1095">
        <v>22900</v>
      </c>
      <c r="H129" s="1084">
        <f t="shared" ref="H129" si="123">G129-G128</f>
        <v>46</v>
      </c>
      <c r="I129" s="1085">
        <f t="shared" ref="I129" si="124">H129/((E129-E128)*24+(F129-F128))*1000</f>
        <v>1916.6666666666667</v>
      </c>
      <c r="J129" s="1098">
        <f t="shared" ref="J129" si="125">I129*24/1000</f>
        <v>46</v>
      </c>
      <c r="K129" s="1084">
        <f t="shared" ref="K129" si="126">G129-G99</f>
        <v>1258</v>
      </c>
    </row>
    <row r="130" spans="2:11" x14ac:dyDescent="0.2">
      <c r="D130" s="1118">
        <f t="shared" si="32"/>
        <v>4535</v>
      </c>
      <c r="E130" s="1033">
        <v>43149</v>
      </c>
      <c r="F130" s="1034">
        <v>0.77361111111111114</v>
      </c>
      <c r="G130" s="1095">
        <v>22948</v>
      </c>
      <c r="H130" s="1084">
        <f t="shared" ref="H130" si="127">G130-G129</f>
        <v>48</v>
      </c>
      <c r="I130" s="1085">
        <f t="shared" ref="I130" si="128">H130/((E130-E129)*24+(F130-F129))*1000</f>
        <v>1996.0725424511957</v>
      </c>
      <c r="J130" s="1098">
        <f t="shared" ref="J130" si="129">I130*24/1000</f>
        <v>47.905741018828692</v>
      </c>
      <c r="K130" s="1084">
        <f t="shared" ref="K130" si="130">G130-G100</f>
        <v>1262</v>
      </c>
    </row>
    <row r="131" spans="2:11" x14ac:dyDescent="0.2">
      <c r="D131" s="1118">
        <f t="shared" si="32"/>
        <v>4562</v>
      </c>
      <c r="E131" s="1033">
        <v>43150</v>
      </c>
      <c r="F131" s="1034">
        <v>0.69791666666666663</v>
      </c>
      <c r="G131" s="1095">
        <v>22975</v>
      </c>
      <c r="H131" s="1084">
        <f>G131-G130</f>
        <v>27</v>
      </c>
      <c r="I131" s="1085">
        <f t="shared" ref="I131:I132" si="131">H131/((E131-E130)*24+(F131-F130))*1000</f>
        <v>1128.5594032103568</v>
      </c>
      <c r="J131" s="1098">
        <f t="shared" ref="J131:J132" si="132">I131*24/1000</f>
        <v>27.085425677048562</v>
      </c>
      <c r="K131" s="1084">
        <f t="shared" ref="K131:K132" si="133">G131-G101</f>
        <v>1242</v>
      </c>
    </row>
    <row r="132" spans="2:11" x14ac:dyDescent="0.2">
      <c r="D132" s="1118">
        <f t="shared" si="32"/>
        <v>4613</v>
      </c>
      <c r="E132" s="1033">
        <v>43151</v>
      </c>
      <c r="F132" s="1034">
        <v>0.68958333333333333</v>
      </c>
      <c r="G132" s="1095">
        <v>23026</v>
      </c>
      <c r="H132" s="1084">
        <f t="shared" ref="H132" si="134">G132-G131</f>
        <v>51</v>
      </c>
      <c r="I132" s="1085">
        <f t="shared" si="131"/>
        <v>2125.7381035081626</v>
      </c>
      <c r="J132" s="1098">
        <f t="shared" si="132"/>
        <v>51.017714484195899</v>
      </c>
      <c r="K132" s="1084">
        <f t="shared" si="133"/>
        <v>1252</v>
      </c>
    </row>
    <row r="133" spans="2:11" x14ac:dyDescent="0.2">
      <c r="D133" s="1118">
        <f t="shared" si="32"/>
        <v>4657</v>
      </c>
      <c r="E133" s="1033">
        <v>43152</v>
      </c>
      <c r="F133" s="1034">
        <v>0.69513888888888886</v>
      </c>
      <c r="G133" s="1095">
        <v>23070</v>
      </c>
      <c r="H133" s="1084">
        <f t="shared" ref="H133" si="135">G133-G132</f>
        <v>44</v>
      </c>
      <c r="I133" s="1085">
        <f t="shared" ref="I133" si="136">H133/((E133-E132)*24+(F133-F132))*1000</f>
        <v>1832.9090488312888</v>
      </c>
      <c r="J133" s="1098">
        <f t="shared" ref="J133" si="137">I133*24/1000</f>
        <v>43.989817171950932</v>
      </c>
      <c r="K133" s="1084">
        <f t="shared" ref="K133" si="138">G133-G103</f>
        <v>1248</v>
      </c>
    </row>
    <row r="134" spans="2:11" x14ac:dyDescent="0.2">
      <c r="D134" s="1118">
        <f t="shared" si="32"/>
        <v>4697</v>
      </c>
      <c r="E134" s="1033">
        <v>43153</v>
      </c>
      <c r="F134" s="1034">
        <v>0.69513888888888886</v>
      </c>
      <c r="G134" s="1095">
        <v>23110</v>
      </c>
      <c r="H134" s="1084">
        <f t="shared" ref="H134" si="139">G134-G133</f>
        <v>40</v>
      </c>
      <c r="I134" s="1085">
        <f t="shared" ref="I134" si="140">H134/((E134-E133)*24+(F134-F133))*1000</f>
        <v>1666.6666666666667</v>
      </c>
      <c r="J134" s="1098">
        <f t="shared" ref="J134" si="141">I134*24/1000</f>
        <v>40</v>
      </c>
      <c r="K134" s="1084">
        <f t="shared" ref="K134" si="142">G134-G104</f>
        <v>1239</v>
      </c>
    </row>
    <row r="135" spans="2:11" x14ac:dyDescent="0.2">
      <c r="D135" s="1118">
        <f t="shared" si="32"/>
        <v>4740</v>
      </c>
      <c r="E135" s="1033">
        <v>43154</v>
      </c>
      <c r="F135" s="1034">
        <v>0.63680555555555551</v>
      </c>
      <c r="G135" s="1095">
        <v>23153</v>
      </c>
      <c r="H135" s="1084">
        <f t="shared" ref="H135:H136" si="143">G135-G134</f>
        <v>43</v>
      </c>
      <c r="I135" s="1085">
        <f t="shared" ref="I135:I136" si="144">H135/((E135-E134)*24+(F135-F134))*1000</f>
        <v>1796.0320222763662</v>
      </c>
      <c r="J135" s="1098">
        <f t="shared" ref="J135:J136" si="145">I135*24/1000</f>
        <v>43.10476853463279</v>
      </c>
      <c r="K135" s="1084">
        <f t="shared" ref="K135:K136" si="146">G135-G105</f>
        <v>1234</v>
      </c>
    </row>
    <row r="136" spans="2:11" x14ac:dyDescent="0.2">
      <c r="D136" s="1118">
        <f t="shared" si="32"/>
        <v>4777</v>
      </c>
      <c r="E136" s="1033">
        <v>43155</v>
      </c>
      <c r="F136" s="1034">
        <v>0.7055555555555556</v>
      </c>
      <c r="G136" s="1095">
        <v>23190</v>
      </c>
      <c r="H136" s="1084">
        <f t="shared" si="143"/>
        <v>37</v>
      </c>
      <c r="I136" s="1085">
        <f t="shared" si="144"/>
        <v>1537.2630485588159</v>
      </c>
      <c r="J136" s="1098">
        <f t="shared" si="145"/>
        <v>36.894313165411582</v>
      </c>
      <c r="K136" s="1084">
        <f t="shared" si="146"/>
        <v>1234</v>
      </c>
    </row>
    <row r="137" spans="2:11" x14ac:dyDescent="0.2">
      <c r="D137" s="1118">
        <f t="shared" si="32"/>
        <v>4816</v>
      </c>
      <c r="E137" s="1033">
        <v>43156</v>
      </c>
      <c r="F137" s="1034">
        <v>0.7055555555555556</v>
      </c>
      <c r="G137" s="1095">
        <v>23229</v>
      </c>
      <c r="H137" s="1084">
        <f t="shared" ref="H137" si="147">G137-G136</f>
        <v>39</v>
      </c>
      <c r="I137" s="1085">
        <f t="shared" ref="I137" si="148">H137/((E137-E136)*24+(F137-F136))*1000</f>
        <v>1625</v>
      </c>
      <c r="J137" s="1098">
        <f t="shared" ref="J137" si="149">I137*24/1000</f>
        <v>39</v>
      </c>
      <c r="K137" s="1084">
        <f t="shared" ref="K137" si="150">G137-G107</f>
        <v>1222</v>
      </c>
    </row>
    <row r="138" spans="2:11" x14ac:dyDescent="0.2">
      <c r="D138" s="1118">
        <f t="shared" si="32"/>
        <v>4882</v>
      </c>
      <c r="E138" s="1033">
        <v>43157</v>
      </c>
      <c r="F138" s="1034">
        <v>0.73263888888888884</v>
      </c>
      <c r="G138" s="1095">
        <v>23295</v>
      </c>
      <c r="H138" s="1084">
        <f t="shared" ref="H138" si="151">G138-G137</f>
        <v>66</v>
      </c>
      <c r="I138" s="1085">
        <f t="shared" ref="I138" si="152">H138/((E138-E137)*24+(F138-F137))*1000</f>
        <v>2746.9001994277291</v>
      </c>
      <c r="J138" s="1098">
        <f t="shared" ref="J138" si="153">I138*24/1000</f>
        <v>65.925604786265495</v>
      </c>
      <c r="K138" s="1084">
        <f t="shared" ref="K138" si="154">G138-G108</f>
        <v>1247</v>
      </c>
    </row>
    <row r="139" spans="2:11" x14ac:dyDescent="0.2">
      <c r="D139" s="1118">
        <f t="shared" si="32"/>
        <v>4945</v>
      </c>
      <c r="E139" s="1033">
        <v>43158</v>
      </c>
      <c r="F139" s="1034">
        <v>0.73263888888888884</v>
      </c>
      <c r="G139" s="1095">
        <v>23358</v>
      </c>
      <c r="H139" s="1084">
        <f t="shared" ref="H139:H144" si="155">G139-G138</f>
        <v>63</v>
      </c>
      <c r="I139" s="1085">
        <f t="shared" ref="I139:I144" si="156">H139/((E139-E138)*24+(F139-F138))*1000</f>
        <v>2625</v>
      </c>
      <c r="J139" s="1098">
        <f t="shared" ref="J139:J144" si="157">I139*24/1000</f>
        <v>63</v>
      </c>
      <c r="K139" s="1084">
        <f t="shared" ref="K139:K144" si="158">G139-G109</f>
        <v>1275</v>
      </c>
    </row>
    <row r="140" spans="2:11" ht="13.5" thickBot="1" x14ac:dyDescent="0.25">
      <c r="D140" s="1118">
        <f t="shared" si="32"/>
        <v>5008</v>
      </c>
      <c r="E140" s="1033">
        <v>43159</v>
      </c>
      <c r="F140" s="1034">
        <v>0.66805555555555562</v>
      </c>
      <c r="G140" s="1095">
        <v>23421</v>
      </c>
      <c r="H140" s="1084">
        <f t="shared" si="155"/>
        <v>63</v>
      </c>
      <c r="I140" s="1085">
        <f t="shared" si="156"/>
        <v>2632.0828618678734</v>
      </c>
      <c r="J140" s="1098">
        <f t="shared" si="157"/>
        <v>63.169988684828958</v>
      </c>
      <c r="K140" s="1084">
        <f t="shared" si="158"/>
        <v>1308</v>
      </c>
    </row>
    <row r="141" spans="2:11" ht="13.5" thickBot="1" x14ac:dyDescent="0.25">
      <c r="B141" s="1101" t="s">
        <v>3428</v>
      </c>
      <c r="C141" s="1105">
        <f>MAX(G141:G172)-G141</f>
        <v>1137</v>
      </c>
      <c r="D141" s="1118">
        <f t="shared" si="32"/>
        <v>5070</v>
      </c>
      <c r="E141" s="1033">
        <v>43160</v>
      </c>
      <c r="F141" s="1034">
        <v>0.63124999999999998</v>
      </c>
      <c r="G141" s="1095">
        <v>23483</v>
      </c>
      <c r="H141" s="1084">
        <f t="shared" si="155"/>
        <v>62</v>
      </c>
      <c r="I141" s="1085">
        <f t="shared" si="156"/>
        <v>2587.3011273075026</v>
      </c>
      <c r="J141" s="1098">
        <f t="shared" si="157"/>
        <v>62.095227055380064</v>
      </c>
      <c r="K141" s="1084">
        <f t="shared" si="158"/>
        <v>1341</v>
      </c>
    </row>
    <row r="142" spans="2:11" x14ac:dyDescent="0.2">
      <c r="B142" s="1053" t="s">
        <v>3693</v>
      </c>
      <c r="C142" s="1068">
        <f>MIN(H141:H171)</f>
        <v>9</v>
      </c>
      <c r="D142" s="1118">
        <f t="shared" si="32"/>
        <v>5145</v>
      </c>
      <c r="E142" s="1033">
        <v>43161</v>
      </c>
      <c r="F142" s="1120">
        <v>0.73888888888888893</v>
      </c>
      <c r="G142" s="1095">
        <v>23558</v>
      </c>
      <c r="H142" s="1084">
        <f t="shared" si="155"/>
        <v>75</v>
      </c>
      <c r="I142" s="1085">
        <f t="shared" si="156"/>
        <v>3111.0470977963419</v>
      </c>
      <c r="J142" s="1098">
        <f t="shared" si="157"/>
        <v>74.665130347112211</v>
      </c>
      <c r="K142" s="1084">
        <f t="shared" si="158"/>
        <v>1372</v>
      </c>
    </row>
    <row r="143" spans="2:11" x14ac:dyDescent="0.2">
      <c r="B143" s="1053" t="s">
        <v>3692</v>
      </c>
      <c r="C143" s="1068">
        <f>MAX(H141:H171)</f>
        <v>75</v>
      </c>
      <c r="D143" s="1118">
        <f t="shared" si="32"/>
        <v>5197</v>
      </c>
      <c r="E143" s="1033">
        <v>43162</v>
      </c>
      <c r="F143" s="1120">
        <v>0.73888888888888893</v>
      </c>
      <c r="G143" s="1095">
        <v>23610</v>
      </c>
      <c r="H143" s="1084">
        <f t="shared" si="155"/>
        <v>52</v>
      </c>
      <c r="I143" s="1085">
        <f t="shared" si="156"/>
        <v>2166.6666666666665</v>
      </c>
      <c r="J143" s="1098">
        <f t="shared" si="157"/>
        <v>52</v>
      </c>
      <c r="K143" s="1084">
        <f t="shared" si="158"/>
        <v>1390</v>
      </c>
    </row>
    <row r="144" spans="2:11" ht="13.5" thickBot="1" x14ac:dyDescent="0.25">
      <c r="B144" s="1099" t="s">
        <v>3694</v>
      </c>
      <c r="C144" s="1100">
        <f>C141/COUNT(E141:E171)</f>
        <v>36.677419354838712</v>
      </c>
      <c r="D144" s="1118">
        <f t="shared" ref="D144:D148" si="159">G144-$G$3</f>
        <v>5251</v>
      </c>
      <c r="E144" s="1033">
        <v>43163</v>
      </c>
      <c r="F144" s="1120">
        <v>0.79652777777777783</v>
      </c>
      <c r="G144" s="1095">
        <v>23664</v>
      </c>
      <c r="H144" s="1084">
        <f t="shared" si="155"/>
        <v>54</v>
      </c>
      <c r="I144" s="1085">
        <f t="shared" si="156"/>
        <v>2244.609300580204</v>
      </c>
      <c r="J144" s="1098">
        <f t="shared" si="157"/>
        <v>53.870623213924894</v>
      </c>
      <c r="K144" s="1084">
        <f t="shared" si="158"/>
        <v>1408</v>
      </c>
    </row>
    <row r="145" spans="4:11" x14ac:dyDescent="0.2">
      <c r="D145" s="1118">
        <f t="shared" si="159"/>
        <v>5298</v>
      </c>
      <c r="E145" s="1033">
        <v>43164</v>
      </c>
      <c r="F145" s="1120">
        <v>0.69374999999999998</v>
      </c>
      <c r="G145" s="1095">
        <v>23711</v>
      </c>
      <c r="H145" s="1084">
        <f t="shared" ref="H145" si="160">G145-G144</f>
        <v>47</v>
      </c>
      <c r="I145" s="1085">
        <f t="shared" ref="I145" si="161">H145/((E145-E144)*24+(F145-F144))*1000</f>
        <v>1966.7557828664419</v>
      </c>
      <c r="J145" s="1098">
        <f t="shared" ref="J145" si="162">I145*24/1000</f>
        <v>47.202138788794606</v>
      </c>
      <c r="K145" s="1084">
        <f t="shared" ref="K145" si="163">G145-G115</f>
        <v>1421</v>
      </c>
    </row>
    <row r="146" spans="4:11" x14ac:dyDescent="0.2">
      <c r="D146" s="1118">
        <f t="shared" si="159"/>
        <v>5349</v>
      </c>
      <c r="E146" s="1033">
        <v>43165</v>
      </c>
      <c r="F146" s="1120">
        <v>0.79027777777777775</v>
      </c>
      <c r="G146" s="1095">
        <v>23762</v>
      </c>
      <c r="H146" s="1084">
        <f t="shared" ref="H146" si="164">G146-G145</f>
        <v>51</v>
      </c>
      <c r="I146" s="1085">
        <f t="shared" ref="I146" si="165">H146/((E146-E145)*24+(F146-F145))*1000</f>
        <v>2116.4875068445776</v>
      </c>
      <c r="J146" s="1098">
        <f t="shared" ref="J146" si="166">I146*24/1000</f>
        <v>50.79570016426986</v>
      </c>
      <c r="K146" s="1084">
        <f t="shared" ref="K146" si="167">G146-G116</f>
        <v>1435</v>
      </c>
    </row>
    <row r="147" spans="4:11" x14ac:dyDescent="0.2">
      <c r="D147" s="1118">
        <f t="shared" si="159"/>
        <v>5385</v>
      </c>
      <c r="E147" s="1033">
        <v>43166</v>
      </c>
      <c r="F147" s="1120">
        <v>0.8847222222222223</v>
      </c>
      <c r="G147" s="1095">
        <v>23798</v>
      </c>
      <c r="H147" s="1084">
        <f t="shared" ref="H147:H148" si="168">G147-G146</f>
        <v>36</v>
      </c>
      <c r="I147" s="1085">
        <f t="shared" ref="I147:I148" si="169">H147/((E147-E146)*24+(F147-F146))*1000</f>
        <v>1494.120359695642</v>
      </c>
      <c r="J147" s="1098">
        <f t="shared" ref="J147:J148" si="170">I147*24/1000</f>
        <v>35.858888632695411</v>
      </c>
      <c r="K147" s="1084">
        <f t="shared" ref="K147:K148" si="171">G147-G117</f>
        <v>1425</v>
      </c>
    </row>
    <row r="148" spans="4:11" x14ac:dyDescent="0.2">
      <c r="D148" s="1118">
        <f t="shared" si="159"/>
        <v>5434</v>
      </c>
      <c r="E148" s="1033">
        <v>43167</v>
      </c>
      <c r="F148" s="1120">
        <v>0.92638888888888893</v>
      </c>
      <c r="G148" s="1095">
        <v>23847</v>
      </c>
      <c r="H148" s="1084">
        <f t="shared" si="168"/>
        <v>49</v>
      </c>
      <c r="I148" s="1085">
        <f t="shared" si="169"/>
        <v>2038.1282495667242</v>
      </c>
      <c r="J148" s="1098">
        <f t="shared" si="170"/>
        <v>48.915077989601386</v>
      </c>
      <c r="K148" s="1084">
        <f t="shared" si="171"/>
        <v>1423</v>
      </c>
    </row>
    <row r="149" spans="4:11" x14ac:dyDescent="0.2">
      <c r="D149" s="1118">
        <f t="shared" ref="D149:D202" si="172">G149-$G$3</f>
        <v>5464</v>
      </c>
      <c r="E149" s="1033">
        <v>43168</v>
      </c>
      <c r="F149" s="1120">
        <v>0.83680555555555547</v>
      </c>
      <c r="G149" s="1095">
        <v>23877</v>
      </c>
      <c r="H149" s="1084">
        <f t="shared" ref="H149" si="173">G149-G148</f>
        <v>30</v>
      </c>
      <c r="I149" s="1085">
        <f t="shared" ref="I149" si="174">H149/((E149-E148)*24+(F149-F148))*1000</f>
        <v>1254.6832796026836</v>
      </c>
      <c r="J149" s="1098">
        <f t="shared" ref="J149" si="175">I149*24/1000</f>
        <v>30.112398710464404</v>
      </c>
      <c r="K149" s="1084">
        <f t="shared" ref="K149" si="176">G149-G119</f>
        <v>1405</v>
      </c>
    </row>
    <row r="150" spans="4:11" x14ac:dyDescent="0.2">
      <c r="D150" s="1118">
        <f t="shared" si="172"/>
        <v>5490</v>
      </c>
      <c r="E150" s="1033">
        <v>43169</v>
      </c>
      <c r="F150" s="1120">
        <v>0.7284722222222223</v>
      </c>
      <c r="G150" s="1095">
        <v>23903</v>
      </c>
      <c r="H150" s="1084">
        <f t="shared" ref="H150" si="177">G150-G149</f>
        <v>26</v>
      </c>
      <c r="I150" s="1085">
        <f t="shared" ref="I150" si="178">H150/((E150-E149)*24+(F150-F149))*1000</f>
        <v>1088.2455528426926</v>
      </c>
      <c r="J150" s="1098">
        <f t="shared" ref="J150" si="179">I150*24/1000</f>
        <v>26.117893268224623</v>
      </c>
      <c r="K150" s="1084">
        <f t="shared" ref="K150" si="180">G150-G120</f>
        <v>1388</v>
      </c>
    </row>
    <row r="151" spans="4:11" x14ac:dyDescent="0.2">
      <c r="D151" s="1118">
        <f t="shared" si="172"/>
        <v>5521</v>
      </c>
      <c r="E151" s="1033">
        <v>43170</v>
      </c>
      <c r="F151" s="1120">
        <v>0.75208333333333333</v>
      </c>
      <c r="G151" s="1095">
        <v>23934</v>
      </c>
      <c r="H151" s="1084">
        <f t="shared" ref="H151" si="181">G151-G150</f>
        <v>31</v>
      </c>
      <c r="I151" s="1085">
        <f t="shared" ref="I151" si="182">H151/((E151-E150)*24+(F151-F150))*1000</f>
        <v>1290.3971787015089</v>
      </c>
      <c r="J151" s="1098">
        <f t="shared" ref="J151" si="183">I151*24/1000</f>
        <v>30.969532288836213</v>
      </c>
      <c r="K151" s="1084">
        <f t="shared" ref="K151" si="184">G151-G121</f>
        <v>1376</v>
      </c>
    </row>
    <row r="152" spans="4:11" x14ac:dyDescent="0.2">
      <c r="D152" s="1118">
        <f t="shared" si="172"/>
        <v>5544</v>
      </c>
      <c r="E152" s="1033">
        <v>43171</v>
      </c>
      <c r="F152" s="1120">
        <v>0.99305555555555547</v>
      </c>
      <c r="G152" s="1095">
        <v>23957</v>
      </c>
      <c r="H152" s="1084">
        <f t="shared" ref="H152:H153" si="185">G152-G151</f>
        <v>23</v>
      </c>
      <c r="I152" s="1085">
        <f t="shared" ref="I152:I153" si="186">H152/((E152-E151)*24+(F152-F151))*1000</f>
        <v>948.80682957572981</v>
      </c>
      <c r="J152" s="1098">
        <f t="shared" ref="J152:J153" si="187">I152*24/1000</f>
        <v>22.771363909817516</v>
      </c>
      <c r="K152" s="1084">
        <f t="shared" ref="K152:K153" si="188">G152-G122</f>
        <v>1369</v>
      </c>
    </row>
    <row r="153" spans="4:11" x14ac:dyDescent="0.2">
      <c r="D153" s="1118">
        <f t="shared" si="172"/>
        <v>5553</v>
      </c>
      <c r="E153" s="1033">
        <v>43172</v>
      </c>
      <c r="F153" s="1120">
        <v>0.75347222222222221</v>
      </c>
      <c r="G153" s="1095">
        <v>23966</v>
      </c>
      <c r="H153" s="1084">
        <f t="shared" si="185"/>
        <v>9</v>
      </c>
      <c r="I153" s="1085">
        <f t="shared" si="186"/>
        <v>378.78123629986851</v>
      </c>
      <c r="J153" s="1098">
        <f t="shared" si="187"/>
        <v>9.0907496711968445</v>
      </c>
      <c r="K153" s="1084">
        <f t="shared" si="188"/>
        <v>1331</v>
      </c>
    </row>
    <row r="154" spans="4:11" x14ac:dyDescent="0.2">
      <c r="D154" s="1118">
        <f t="shared" si="172"/>
        <v>5579</v>
      </c>
      <c r="E154" s="1033">
        <v>43173</v>
      </c>
      <c r="F154" s="1120">
        <v>0.80347222222222225</v>
      </c>
      <c r="G154" s="1095">
        <v>23992</v>
      </c>
      <c r="H154" s="1084">
        <f t="shared" ref="H154" si="189">G154-G153</f>
        <v>26</v>
      </c>
      <c r="I154" s="1085">
        <f t="shared" ref="I154" si="190">H154/((E154-E153)*24+(F154-F153))*1000</f>
        <v>1081.081081081081</v>
      </c>
      <c r="J154" s="1098">
        <f t="shared" ref="J154" si="191">I154*24/1000</f>
        <v>25.945945945945947</v>
      </c>
      <c r="K154" s="1084">
        <f t="shared" ref="K154" si="192">G154-G124</f>
        <v>1306</v>
      </c>
    </row>
    <row r="155" spans="4:11" x14ac:dyDescent="0.2">
      <c r="D155" s="1118">
        <f t="shared" si="172"/>
        <v>5605</v>
      </c>
      <c r="E155" s="1033">
        <v>43174</v>
      </c>
      <c r="F155" s="1120">
        <v>0.80763888888888891</v>
      </c>
      <c r="G155" s="1095">
        <v>24018</v>
      </c>
      <c r="H155" s="1084">
        <f t="shared" ref="H155:H156" si="193">G155-G154</f>
        <v>26</v>
      </c>
      <c r="I155" s="1085">
        <f t="shared" ref="I155:I156" si="194">H155/((E155-E154)*24+(F155-F154))*1000</f>
        <v>1083.1452872765146</v>
      </c>
      <c r="J155" s="1098">
        <f t="shared" ref="J155:J156" si="195">I155*24/1000</f>
        <v>25.99548689463635</v>
      </c>
      <c r="K155" s="1084">
        <f t="shared" ref="K155:K156" si="196">G155-G125</f>
        <v>1292</v>
      </c>
    </row>
    <row r="156" spans="4:11" x14ac:dyDescent="0.2">
      <c r="D156" s="1118">
        <f t="shared" si="172"/>
        <v>5645</v>
      </c>
      <c r="E156" s="1033">
        <v>43175</v>
      </c>
      <c r="F156" s="1120">
        <v>0.72430555555555554</v>
      </c>
      <c r="G156" s="1095">
        <v>24058</v>
      </c>
      <c r="H156" s="1084">
        <f t="shared" si="193"/>
        <v>40</v>
      </c>
      <c r="I156" s="1085">
        <f t="shared" si="194"/>
        <v>1672.4738675958188</v>
      </c>
      <c r="J156" s="1098">
        <f t="shared" si="195"/>
        <v>40.139372822299649</v>
      </c>
      <c r="K156" s="1084">
        <f t="shared" si="196"/>
        <v>1290</v>
      </c>
    </row>
    <row r="157" spans="4:11" x14ac:dyDescent="0.2">
      <c r="D157" s="1118">
        <f t="shared" si="172"/>
        <v>5685</v>
      </c>
      <c r="E157" s="1033">
        <v>43176</v>
      </c>
      <c r="F157" s="1120">
        <v>0.72430555555555554</v>
      </c>
      <c r="G157" s="1095">
        <v>24098</v>
      </c>
      <c r="H157" s="1084">
        <f t="shared" ref="H157" si="197">G157-G156</f>
        <v>40</v>
      </c>
      <c r="I157" s="1085">
        <f t="shared" ref="I157" si="198">H157/((E157-E156)*24+(F157-F156))*1000</f>
        <v>1666.6666666666667</v>
      </c>
      <c r="J157" s="1098">
        <f t="shared" ref="J157" si="199">I157*24/1000</f>
        <v>40</v>
      </c>
      <c r="K157" s="1084">
        <f t="shared" ref="K157" si="200">G157-G127</f>
        <v>1283</v>
      </c>
    </row>
    <row r="158" spans="4:11" x14ac:dyDescent="0.2">
      <c r="D158" s="1118">
        <f t="shared" si="172"/>
        <v>5725</v>
      </c>
      <c r="E158" s="1033">
        <v>43177</v>
      </c>
      <c r="F158" s="1120">
        <v>0.72430555555555554</v>
      </c>
      <c r="G158" s="1095">
        <v>24138</v>
      </c>
      <c r="H158" s="1084">
        <f t="shared" ref="H158" si="201">G158-G157</f>
        <v>40</v>
      </c>
      <c r="I158" s="1085">
        <f t="shared" ref="I158" si="202">H158/((E158-E157)*24+(F158-F157))*1000</f>
        <v>1666.6666666666667</v>
      </c>
      <c r="J158" s="1098">
        <f t="shared" ref="J158" si="203">I158*24/1000</f>
        <v>40</v>
      </c>
      <c r="K158" s="1084">
        <f t="shared" ref="K158" si="204">G158-G128</f>
        <v>1284</v>
      </c>
    </row>
    <row r="159" spans="4:11" x14ac:dyDescent="0.2">
      <c r="D159" s="1118">
        <f t="shared" si="172"/>
        <v>5762</v>
      </c>
      <c r="E159" s="1033">
        <v>43178</v>
      </c>
      <c r="F159" s="1120">
        <v>0.72430555555555554</v>
      </c>
      <c r="G159" s="1095">
        <v>24175</v>
      </c>
      <c r="H159" s="1084">
        <f t="shared" ref="H159" si="205">G159-G158</f>
        <v>37</v>
      </c>
      <c r="I159" s="1085">
        <f t="shared" ref="I159" si="206">H159/((E159-E158)*24+(F159-F158))*1000</f>
        <v>1541.6666666666667</v>
      </c>
      <c r="J159" s="1098">
        <f t="shared" ref="J159" si="207">I159*24/1000</f>
        <v>37</v>
      </c>
      <c r="K159" s="1084">
        <f t="shared" ref="K159" si="208">G159-G129</f>
        <v>1275</v>
      </c>
    </row>
    <row r="160" spans="4:11" x14ac:dyDescent="0.2">
      <c r="D160" s="1118">
        <f t="shared" si="172"/>
        <v>5807</v>
      </c>
      <c r="E160" s="1033">
        <v>43179</v>
      </c>
      <c r="F160" s="1120">
        <v>0.72430555555555554</v>
      </c>
      <c r="G160" s="1095">
        <v>24220</v>
      </c>
      <c r="H160" s="1084">
        <f t="shared" ref="H160" si="209">G160-G159</f>
        <v>45</v>
      </c>
      <c r="I160" s="1085">
        <f t="shared" ref="I160" si="210">H160/((E160-E159)*24+(F160-F159))*1000</f>
        <v>1875</v>
      </c>
      <c r="J160" s="1098">
        <f t="shared" ref="J160" si="211">I160*24/1000</f>
        <v>45</v>
      </c>
      <c r="K160" s="1084">
        <f t="shared" ref="K160" si="212">G160-G130</f>
        <v>1272</v>
      </c>
    </row>
    <row r="161" spans="2:13" x14ac:dyDescent="0.2">
      <c r="D161" s="1118">
        <f t="shared" si="172"/>
        <v>5851</v>
      </c>
      <c r="E161" s="1033">
        <v>43180</v>
      </c>
      <c r="F161" s="1120">
        <v>0.94513888888888886</v>
      </c>
      <c r="G161" s="1095">
        <v>24264</v>
      </c>
      <c r="H161" s="1084">
        <f t="shared" ref="H161" si="213">G161-G160</f>
        <v>44</v>
      </c>
      <c r="I161" s="1085">
        <f t="shared" ref="I161" si="214">H161/((E161-E160)*24+(F161-F160))*1000</f>
        <v>1816.6179253397556</v>
      </c>
      <c r="J161" s="1098">
        <f t="shared" ref="J161" si="215">I161*24/1000</f>
        <v>43.598830208154133</v>
      </c>
      <c r="K161" s="1084">
        <f t="shared" ref="K161" si="216">G161-G131</f>
        <v>1289</v>
      </c>
    </row>
    <row r="162" spans="2:13" x14ac:dyDescent="0.2">
      <c r="D162" s="1118">
        <f t="shared" si="172"/>
        <v>5867</v>
      </c>
      <c r="E162" s="1033">
        <v>43181</v>
      </c>
      <c r="F162" s="1120">
        <v>0.70624999999999993</v>
      </c>
      <c r="G162" s="1095">
        <v>24280</v>
      </c>
      <c r="H162" s="1084">
        <f t="shared" ref="H162" si="217">G162-G161</f>
        <v>16</v>
      </c>
      <c r="I162" s="1085">
        <f t="shared" ref="I162" si="218">H162/((E162-E161)*24+(F162-F161))*1000</f>
        <v>673.36918400748175</v>
      </c>
      <c r="J162" s="1098">
        <f t="shared" ref="J162" si="219">I162*24/1000</f>
        <v>16.160860416179563</v>
      </c>
      <c r="K162" s="1084">
        <f t="shared" ref="K162" si="220">G162-G132</f>
        <v>1254</v>
      </c>
    </row>
    <row r="163" spans="2:13" x14ac:dyDescent="0.2">
      <c r="D163" s="1118">
        <f t="shared" si="172"/>
        <v>5911</v>
      </c>
      <c r="E163" s="1033">
        <v>43182</v>
      </c>
      <c r="F163" s="1120">
        <v>0.85625000000000007</v>
      </c>
      <c r="G163" s="1095">
        <v>24324</v>
      </c>
      <c r="H163" s="1084">
        <f t="shared" ref="H163:H164" si="221">G163-G162</f>
        <v>44</v>
      </c>
      <c r="I163" s="1085">
        <f t="shared" ref="I163:I164" si="222">H163/((E163-E162)*24+(F163-F162))*1000</f>
        <v>1821.9461697722568</v>
      </c>
      <c r="J163" s="1098">
        <f t="shared" ref="J163:J164" si="223">I163*24/1000</f>
        <v>43.726708074534166</v>
      </c>
      <c r="K163" s="1084">
        <f t="shared" ref="K163:K164" si="224">G163-G133</f>
        <v>1254</v>
      </c>
    </row>
    <row r="164" spans="2:13" x14ac:dyDescent="0.2">
      <c r="D164" s="1118">
        <f t="shared" si="172"/>
        <v>5940</v>
      </c>
      <c r="E164" s="1033">
        <v>43183</v>
      </c>
      <c r="F164" s="1120">
        <v>0.69791666666666663</v>
      </c>
      <c r="G164" s="1095">
        <v>24353</v>
      </c>
      <c r="H164" s="1084">
        <f t="shared" si="221"/>
        <v>29</v>
      </c>
      <c r="I164" s="1085">
        <f t="shared" si="222"/>
        <v>1216.3579168123035</v>
      </c>
      <c r="J164" s="1098">
        <f t="shared" si="223"/>
        <v>29.192590003495287</v>
      </c>
      <c r="K164" s="1084">
        <f t="shared" si="224"/>
        <v>1243</v>
      </c>
    </row>
    <row r="165" spans="2:13" x14ac:dyDescent="0.2">
      <c r="D165" s="1118">
        <f t="shared" si="172"/>
        <v>5977</v>
      </c>
      <c r="E165" s="1033">
        <v>43184</v>
      </c>
      <c r="F165" s="1120">
        <v>0.69791666666666663</v>
      </c>
      <c r="G165" s="1095">
        <v>24390</v>
      </c>
      <c r="H165" s="1084">
        <f t="shared" ref="H165:H166" si="225">G165-G164</f>
        <v>37</v>
      </c>
      <c r="I165" s="1085">
        <f t="shared" ref="I165:I166" si="226">H165/((E165-E164)*24+(F165-F164))*1000</f>
        <v>1541.6666666666667</v>
      </c>
      <c r="J165" s="1098">
        <f t="shared" ref="J165:J166" si="227">I165*24/1000</f>
        <v>37</v>
      </c>
      <c r="K165" s="1084">
        <f t="shared" ref="K165:K166" si="228">G165-G135</f>
        <v>1237</v>
      </c>
    </row>
    <row r="166" spans="2:13" x14ac:dyDescent="0.2">
      <c r="D166" s="1118">
        <f t="shared" si="172"/>
        <v>6015</v>
      </c>
      <c r="E166" s="1033">
        <v>43185</v>
      </c>
      <c r="F166" s="1120">
        <v>0.69791666666666663</v>
      </c>
      <c r="G166" s="1095">
        <v>24428</v>
      </c>
      <c r="H166" s="1084">
        <f t="shared" si="225"/>
        <v>38</v>
      </c>
      <c r="I166" s="1085">
        <f t="shared" si="226"/>
        <v>1583.3333333333333</v>
      </c>
      <c r="J166" s="1098">
        <f t="shared" si="227"/>
        <v>38</v>
      </c>
      <c r="K166" s="1084">
        <f t="shared" si="228"/>
        <v>1238</v>
      </c>
    </row>
    <row r="167" spans="2:13" x14ac:dyDescent="0.2">
      <c r="D167" s="1118">
        <f t="shared" si="172"/>
        <v>6050</v>
      </c>
      <c r="E167" s="1033">
        <v>43186</v>
      </c>
      <c r="F167" s="1120">
        <v>0.73888888888888893</v>
      </c>
      <c r="G167" s="1095">
        <v>24463</v>
      </c>
      <c r="H167" s="1084">
        <f t="shared" ref="H167" si="229">G167-G166</f>
        <v>35</v>
      </c>
      <c r="I167" s="1085">
        <f t="shared" ref="I167" si="230">H167/((E167-E166)*24+(F167-F166))*1000</f>
        <v>1455.8479447702127</v>
      </c>
      <c r="J167" s="1098">
        <f t="shared" ref="J167" si="231">I167*24/1000</f>
        <v>34.940350674485103</v>
      </c>
      <c r="K167" s="1084">
        <f t="shared" ref="K167" si="232">G167-G137</f>
        <v>1234</v>
      </c>
    </row>
    <row r="168" spans="2:13" x14ac:dyDescent="0.2">
      <c r="D168" s="1118">
        <f t="shared" si="172"/>
        <v>6084</v>
      </c>
      <c r="E168" s="1033">
        <v>43187</v>
      </c>
      <c r="F168" s="1120">
        <v>0.71458333333333324</v>
      </c>
      <c r="G168" s="1095">
        <v>24497</v>
      </c>
      <c r="H168" s="1084">
        <f t="shared" ref="H168" si="233">G168-G167</f>
        <v>34</v>
      </c>
      <c r="I168" s="1085">
        <f t="shared" ref="I168" si="234">H168/((E168-E167)*24+(F168-F167))*1000</f>
        <v>1418.1028240405503</v>
      </c>
      <c r="J168" s="1098">
        <f t="shared" ref="J168" si="235">I168*24/1000</f>
        <v>34.034467776973209</v>
      </c>
      <c r="K168" s="1084">
        <f t="shared" ref="K168" si="236">G168-G138</f>
        <v>1202</v>
      </c>
    </row>
    <row r="169" spans="2:13" x14ac:dyDescent="0.2">
      <c r="D169" s="1118">
        <f t="shared" si="172"/>
        <v>6116</v>
      </c>
      <c r="E169" s="1033">
        <v>43188</v>
      </c>
      <c r="F169" s="1120">
        <v>0.9291666666666667</v>
      </c>
      <c r="G169" s="1095">
        <v>24529</v>
      </c>
      <c r="H169" s="1084">
        <f t="shared" ref="H169" si="237">G169-G168</f>
        <v>32</v>
      </c>
      <c r="I169" s="1085">
        <f t="shared" ref="I169" si="238">H169/((E169-E168)*24+(F169-F168))*1000</f>
        <v>1321.5176804611547</v>
      </c>
      <c r="J169" s="1098">
        <f t="shared" ref="J169" si="239">I169*24/1000</f>
        <v>31.716424331067714</v>
      </c>
      <c r="K169" s="1084">
        <f t="shared" ref="K169" si="240">G169-G139</f>
        <v>1171</v>
      </c>
    </row>
    <row r="170" spans="2:13" x14ac:dyDescent="0.2">
      <c r="D170" s="1118">
        <f t="shared" si="172"/>
        <v>6160</v>
      </c>
      <c r="E170" s="1033">
        <v>43189</v>
      </c>
      <c r="F170" s="1120">
        <v>0.75416666666666676</v>
      </c>
      <c r="G170" s="1095">
        <v>24573</v>
      </c>
      <c r="H170" s="1084">
        <f t="shared" ref="H170" si="241">G170-G169</f>
        <v>44</v>
      </c>
      <c r="I170" s="1085">
        <f t="shared" ref="I170" si="242">H170/((E170-E169)*24+(F170-F169))*1000</f>
        <v>1846.7995802728228</v>
      </c>
      <c r="J170" s="1098">
        <f t="shared" ref="J170" si="243">I170*24/1000</f>
        <v>44.323189926547748</v>
      </c>
      <c r="K170" s="1084">
        <f t="shared" ref="K170" si="244">G170-G140</f>
        <v>1152</v>
      </c>
      <c r="M170" s="1" t="s">
        <v>3705</v>
      </c>
    </row>
    <row r="171" spans="2:13" ht="13.5" thickBot="1" x14ac:dyDescent="0.25">
      <c r="D171" s="1118">
        <f t="shared" si="172"/>
        <v>6183</v>
      </c>
      <c r="E171" s="1033">
        <v>43190</v>
      </c>
      <c r="F171" s="1120">
        <v>0.75416666666666676</v>
      </c>
      <c r="G171" s="1095">
        <v>24596</v>
      </c>
      <c r="H171" s="1084">
        <f t="shared" ref="H171:H172" si="245">G171-G170</f>
        <v>23</v>
      </c>
      <c r="I171" s="1085">
        <f t="shared" ref="I171:I172" si="246">H171/((E171-E170)*24+(F171-F170))*1000</f>
        <v>958.33333333333337</v>
      </c>
      <c r="J171" s="1098">
        <f t="shared" ref="J171:J172" si="247">I171*24/1000</f>
        <v>23</v>
      </c>
      <c r="K171" s="1084">
        <f t="shared" ref="K171:K172" si="248">G171-G141</f>
        <v>1113</v>
      </c>
    </row>
    <row r="172" spans="2:13" ht="13.5" thickBot="1" x14ac:dyDescent="0.25">
      <c r="B172" s="1101" t="s">
        <v>3430</v>
      </c>
      <c r="C172" s="1105">
        <f>MAX(G172:G201)-G172</f>
        <v>99</v>
      </c>
      <c r="D172" s="1118">
        <f t="shared" si="172"/>
        <v>6207</v>
      </c>
      <c r="E172" s="1033">
        <v>43191</v>
      </c>
      <c r="F172" s="1120">
        <v>0.75416666666666676</v>
      </c>
      <c r="G172" s="1095">
        <v>24620</v>
      </c>
      <c r="H172" s="1084">
        <f t="shared" si="245"/>
        <v>24</v>
      </c>
      <c r="I172" s="1085">
        <f t="shared" si="246"/>
        <v>1000</v>
      </c>
      <c r="J172" s="1098">
        <f t="shared" si="247"/>
        <v>24</v>
      </c>
      <c r="K172" s="1084">
        <f t="shared" si="248"/>
        <v>1062</v>
      </c>
    </row>
    <row r="173" spans="2:13" x14ac:dyDescent="0.2">
      <c r="B173" s="1053" t="s">
        <v>3693</v>
      </c>
      <c r="C173" s="1068">
        <f>MIN(H172:H202)</f>
        <v>17</v>
      </c>
      <c r="D173" s="1118">
        <f t="shared" si="172"/>
        <v>6229</v>
      </c>
      <c r="E173" s="1033">
        <v>43192</v>
      </c>
      <c r="F173" s="1120">
        <v>0.82847222222222217</v>
      </c>
      <c r="G173" s="1095">
        <v>24642</v>
      </c>
      <c r="H173" s="1084">
        <f t="shared" ref="H173" si="249">G173-G172</f>
        <v>22</v>
      </c>
      <c r="I173" s="1085">
        <f t="shared" ref="I173" si="250">H173/((E173-E172)*24+(F173-F172))*1000</f>
        <v>913.83736694839479</v>
      </c>
      <c r="J173" s="1098">
        <f t="shared" ref="J173" si="251">I173*24/1000</f>
        <v>21.932096806761475</v>
      </c>
      <c r="K173" s="1084">
        <f t="shared" ref="K173" si="252">G173-G143</f>
        <v>1032</v>
      </c>
    </row>
    <row r="174" spans="2:13" x14ac:dyDescent="0.2">
      <c r="B174" s="1053" t="s">
        <v>3692</v>
      </c>
      <c r="C174" s="1068">
        <f>MAX(H172:H201)</f>
        <v>24</v>
      </c>
      <c r="D174" s="1118">
        <f t="shared" si="172"/>
        <v>6252</v>
      </c>
      <c r="E174" s="1033">
        <v>43193</v>
      </c>
      <c r="F174" s="1120">
        <v>0.85833333333333339</v>
      </c>
      <c r="G174" s="1095">
        <v>24665</v>
      </c>
      <c r="H174" s="1084">
        <f t="shared" ref="H174" si="253">G174-G173</f>
        <v>23</v>
      </c>
      <c r="I174" s="1085">
        <f t="shared" ref="I174" si="254">H174/((E174-E173)*24+(F174-F173))*1000</f>
        <v>957.14244429673738</v>
      </c>
      <c r="J174" s="1098">
        <f t="shared" ref="J174" si="255">I174*24/1000</f>
        <v>22.9714186631217</v>
      </c>
      <c r="K174" s="1084">
        <f t="shared" ref="K174" si="256">G174-G144</f>
        <v>1001</v>
      </c>
    </row>
    <row r="175" spans="2:13" ht="13.5" thickBot="1" x14ac:dyDescent="0.25">
      <c r="B175" s="1099" t="s">
        <v>3694</v>
      </c>
      <c r="C175" s="1100">
        <f>C172/COUNT(E172:E201)</f>
        <v>3.3</v>
      </c>
      <c r="D175" s="1118">
        <f t="shared" si="172"/>
        <v>6270</v>
      </c>
      <c r="E175" s="1033">
        <v>43194</v>
      </c>
      <c r="F175" s="1120">
        <v>0.7055555555555556</v>
      </c>
      <c r="G175" s="1095">
        <v>24683</v>
      </c>
      <c r="H175" s="1084">
        <f t="shared" ref="H175" si="257">G175-G174</f>
        <v>18</v>
      </c>
      <c r="I175" s="1085">
        <f t="shared" ref="I175" si="258">H175/((E175-E174)*24+(F175-F174))*1000</f>
        <v>754.80489225393137</v>
      </c>
      <c r="J175" s="1098">
        <f t="shared" ref="J175" si="259">I175*24/1000</f>
        <v>18.115317414094353</v>
      </c>
      <c r="K175" s="1084">
        <f t="shared" ref="K175" si="260">G175-G145</f>
        <v>972</v>
      </c>
    </row>
    <row r="176" spans="2:13" x14ac:dyDescent="0.2">
      <c r="D176" s="1118">
        <f t="shared" si="172"/>
        <v>6287</v>
      </c>
      <c r="E176" s="1033">
        <v>43195</v>
      </c>
      <c r="F176" s="1120">
        <v>0.7055555555555556</v>
      </c>
      <c r="G176" s="1095">
        <v>24700</v>
      </c>
      <c r="H176" s="1084">
        <f t="shared" ref="H176" si="261">G176-G175</f>
        <v>17</v>
      </c>
      <c r="I176" s="1085">
        <f t="shared" ref="I176" si="262">H176/((E176-E175)*24+(F176-F175))*1000</f>
        <v>708.33333333333337</v>
      </c>
      <c r="J176" s="1098">
        <f t="shared" ref="J176" si="263">I176*24/1000</f>
        <v>17</v>
      </c>
      <c r="K176" s="1084">
        <f t="shared" ref="K176" si="264">G176-G146</f>
        <v>938</v>
      </c>
    </row>
    <row r="177" spans="4:11" x14ac:dyDescent="0.2">
      <c r="D177" s="1118">
        <f t="shared" si="172"/>
        <v>6306</v>
      </c>
      <c r="E177" s="1033">
        <v>43196</v>
      </c>
      <c r="F177" s="1120">
        <v>0.76388888888888884</v>
      </c>
      <c r="G177" s="1095">
        <v>24719</v>
      </c>
      <c r="H177" s="1084">
        <f t="shared" ref="H177" si="265">G177-G176</f>
        <v>19</v>
      </c>
      <c r="I177" s="1085">
        <f t="shared" ref="I177" si="266">H177/((E177-E176)*24+(F177-F176))*1000</f>
        <v>789.74714236231375</v>
      </c>
      <c r="J177" s="1098">
        <f t="shared" ref="J177" si="267">I177*24/1000</f>
        <v>18.953931416695529</v>
      </c>
      <c r="K177" s="1084">
        <f t="shared" ref="K177" si="268">G177-G147</f>
        <v>921</v>
      </c>
    </row>
    <row r="178" spans="4:11" x14ac:dyDescent="0.2">
      <c r="D178" s="1118">
        <f t="shared" si="172"/>
        <v>-18413</v>
      </c>
      <c r="E178" s="1033">
        <v>43197</v>
      </c>
    </row>
    <row r="179" spans="4:11" x14ac:dyDescent="0.2">
      <c r="D179" s="1118">
        <f t="shared" si="172"/>
        <v>-18413</v>
      </c>
      <c r="E179" s="1033">
        <v>43198</v>
      </c>
    </row>
    <row r="180" spans="4:11" x14ac:dyDescent="0.2">
      <c r="D180" s="1118">
        <f t="shared" si="172"/>
        <v>-18413</v>
      </c>
      <c r="E180" s="1033">
        <v>43199</v>
      </c>
    </row>
    <row r="181" spans="4:11" x14ac:dyDescent="0.2">
      <c r="D181" s="1118">
        <f t="shared" si="172"/>
        <v>-18413</v>
      </c>
      <c r="E181" s="1033">
        <v>43200</v>
      </c>
    </row>
    <row r="182" spans="4:11" x14ac:dyDescent="0.2">
      <c r="D182" s="1118">
        <f t="shared" si="172"/>
        <v>-18413</v>
      </c>
      <c r="E182" s="1033">
        <v>43201</v>
      </c>
    </row>
    <row r="183" spans="4:11" x14ac:dyDescent="0.2">
      <c r="D183" s="1118">
        <f t="shared" si="172"/>
        <v>-18413</v>
      </c>
      <c r="E183" s="1033">
        <v>43202</v>
      </c>
    </row>
    <row r="184" spans="4:11" x14ac:dyDescent="0.2">
      <c r="D184" s="1118">
        <f t="shared" si="172"/>
        <v>-18413</v>
      </c>
      <c r="E184" s="1033">
        <v>43203</v>
      </c>
    </row>
    <row r="185" spans="4:11" x14ac:dyDescent="0.2">
      <c r="D185" s="1118">
        <f t="shared" si="172"/>
        <v>-18413</v>
      </c>
      <c r="E185" s="1033">
        <v>43204</v>
      </c>
    </row>
    <row r="186" spans="4:11" x14ac:dyDescent="0.2">
      <c r="D186" s="1118">
        <f t="shared" si="172"/>
        <v>-18413</v>
      </c>
      <c r="E186" s="1033">
        <v>43205</v>
      </c>
    </row>
    <row r="187" spans="4:11" x14ac:dyDescent="0.2">
      <c r="D187" s="1118">
        <f t="shared" si="172"/>
        <v>-18413</v>
      </c>
      <c r="E187" s="1033">
        <v>43206</v>
      </c>
    </row>
    <row r="188" spans="4:11" x14ac:dyDescent="0.2">
      <c r="D188" s="1118">
        <f t="shared" si="172"/>
        <v>-18413</v>
      </c>
      <c r="E188" s="1033">
        <v>43207</v>
      </c>
    </row>
    <row r="189" spans="4:11" x14ac:dyDescent="0.2">
      <c r="D189" s="1118">
        <f t="shared" si="172"/>
        <v>-18413</v>
      </c>
      <c r="E189" s="1033">
        <v>43208</v>
      </c>
    </row>
    <row r="190" spans="4:11" x14ac:dyDescent="0.2">
      <c r="D190" s="1118">
        <f t="shared" si="172"/>
        <v>-18413</v>
      </c>
      <c r="E190" s="1033">
        <v>43209</v>
      </c>
    </row>
    <row r="191" spans="4:11" x14ac:dyDescent="0.2">
      <c r="D191" s="1118">
        <f t="shared" si="172"/>
        <v>-18413</v>
      </c>
      <c r="E191" s="1033">
        <v>43210</v>
      </c>
    </row>
    <row r="192" spans="4:11" x14ac:dyDescent="0.2">
      <c r="D192" s="1118">
        <f t="shared" si="172"/>
        <v>-18413</v>
      </c>
      <c r="E192" s="1033">
        <v>43211</v>
      </c>
    </row>
    <row r="193" spans="4:5" x14ac:dyDescent="0.2">
      <c r="D193" s="1118">
        <f t="shared" si="172"/>
        <v>-18413</v>
      </c>
      <c r="E193" s="1033">
        <v>43212</v>
      </c>
    </row>
    <row r="194" spans="4:5" x14ac:dyDescent="0.2">
      <c r="D194" s="1118">
        <f t="shared" si="172"/>
        <v>-18413</v>
      </c>
      <c r="E194" s="1033">
        <v>43213</v>
      </c>
    </row>
    <row r="195" spans="4:5" x14ac:dyDescent="0.2">
      <c r="D195" s="1118">
        <f t="shared" si="172"/>
        <v>-18413</v>
      </c>
      <c r="E195" s="1033">
        <v>43214</v>
      </c>
    </row>
    <row r="196" spans="4:5" x14ac:dyDescent="0.2">
      <c r="D196" s="1118">
        <f t="shared" si="172"/>
        <v>-18413</v>
      </c>
      <c r="E196" s="1033">
        <v>43215</v>
      </c>
    </row>
    <row r="197" spans="4:5" x14ac:dyDescent="0.2">
      <c r="D197" s="1118">
        <f t="shared" si="172"/>
        <v>-18413</v>
      </c>
      <c r="E197" s="1033">
        <v>43216</v>
      </c>
    </row>
    <row r="198" spans="4:5" x14ac:dyDescent="0.2">
      <c r="D198" s="1118">
        <f t="shared" si="172"/>
        <v>-18413</v>
      </c>
      <c r="E198" s="1033">
        <v>43217</v>
      </c>
    </row>
    <row r="199" spans="4:5" x14ac:dyDescent="0.2">
      <c r="D199" s="1118">
        <f t="shared" si="172"/>
        <v>-18413</v>
      </c>
      <c r="E199" s="1033">
        <v>43218</v>
      </c>
    </row>
    <row r="200" spans="4:5" x14ac:dyDescent="0.2">
      <c r="D200" s="1118">
        <f t="shared" si="172"/>
        <v>-18413</v>
      </c>
      <c r="E200" s="1033">
        <v>43219</v>
      </c>
    </row>
    <row r="201" spans="4:5" x14ac:dyDescent="0.2">
      <c r="D201" s="1118">
        <f t="shared" si="172"/>
        <v>-18413</v>
      </c>
      <c r="E201" s="1033">
        <v>43220</v>
      </c>
    </row>
    <row r="202" spans="4:5" x14ac:dyDescent="0.2">
      <c r="D202" s="1118">
        <f t="shared" si="172"/>
        <v>-18413</v>
      </c>
      <c r="E202" s="1033">
        <v>43221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Munka49"/>
  <dimension ref="D34:L47"/>
  <sheetViews>
    <sheetView zoomScale="85" zoomScaleNormal="85" workbookViewId="0">
      <selection activeCell="K43" sqref="K43"/>
    </sheetView>
  </sheetViews>
  <sheetFormatPr defaultRowHeight="12.75" x14ac:dyDescent="0.2"/>
  <cols>
    <col min="5" max="5" width="14.28515625" customWidth="1"/>
    <col min="6" max="6" width="19.7109375" customWidth="1"/>
    <col min="7" max="7" width="16.7109375" customWidth="1"/>
    <col min="8" max="8" width="15.28515625" bestFit="1" customWidth="1"/>
    <col min="9" max="12" width="13" customWidth="1"/>
    <col min="13" max="13" width="9.140625" customWidth="1"/>
  </cols>
  <sheetData>
    <row r="34" spans="4:12" ht="13.5" thickBot="1" x14ac:dyDescent="0.25"/>
    <row r="35" spans="4:12" ht="15" x14ac:dyDescent="0.25">
      <c r="F35" s="1107" t="s">
        <v>3696</v>
      </c>
      <c r="G35" s="1106" t="s">
        <v>3697</v>
      </c>
      <c r="H35" s="64"/>
      <c r="I35" s="1116" t="s">
        <v>3699</v>
      </c>
    </row>
    <row r="36" spans="4:12" ht="15" x14ac:dyDescent="0.25">
      <c r="D36" t="s">
        <v>2948</v>
      </c>
      <c r="E36" s="1086" t="s">
        <v>3708</v>
      </c>
      <c r="F36" s="1109">
        <v>35975</v>
      </c>
      <c r="G36" s="1110">
        <v>340622</v>
      </c>
      <c r="H36" s="1114" t="s">
        <v>3704</v>
      </c>
      <c r="I36" s="1117">
        <v>500000</v>
      </c>
      <c r="K36" s="1119">
        <v>5460</v>
      </c>
      <c r="L36" s="1114" t="s">
        <v>3704</v>
      </c>
    </row>
    <row r="37" spans="4:12" ht="15" x14ac:dyDescent="0.25">
      <c r="D37" t="s">
        <v>3710</v>
      </c>
      <c r="E37" s="1086" t="s">
        <v>3707</v>
      </c>
      <c r="F37" s="1109">
        <v>105109</v>
      </c>
      <c r="G37" s="1110">
        <v>349273</v>
      </c>
      <c r="H37" s="1114"/>
      <c r="I37" s="1117">
        <v>500000</v>
      </c>
      <c r="K37" s="1119">
        <v>6540</v>
      </c>
      <c r="L37" s="1114"/>
    </row>
    <row r="38" spans="4:12" ht="15" x14ac:dyDescent="0.25">
      <c r="D38" t="s">
        <v>3710</v>
      </c>
      <c r="E38" s="1086" t="s">
        <v>3706</v>
      </c>
      <c r="F38" s="1109">
        <v>467209</v>
      </c>
      <c r="G38" s="1110">
        <v>690761</v>
      </c>
      <c r="H38" s="1114" t="s">
        <v>3704</v>
      </c>
      <c r="I38" s="1117">
        <v>500000</v>
      </c>
      <c r="K38" s="1119">
        <v>12540</v>
      </c>
      <c r="L38" s="1114" t="s">
        <v>3704</v>
      </c>
    </row>
    <row r="39" spans="4:12" ht="15.75" thickBot="1" x14ac:dyDescent="0.3">
      <c r="D39" t="s">
        <v>2948</v>
      </c>
      <c r="E39" s="1086" t="s">
        <v>3709</v>
      </c>
      <c r="F39" s="1109">
        <v>1365077</v>
      </c>
      <c r="G39" s="1110">
        <v>703985</v>
      </c>
      <c r="H39" s="1114" t="s">
        <v>3704</v>
      </c>
      <c r="I39" s="1117">
        <v>700000</v>
      </c>
      <c r="K39" s="1119">
        <v>12540</v>
      </c>
      <c r="L39" s="1114" t="s">
        <v>3704</v>
      </c>
    </row>
    <row r="40" spans="4:12" ht="15.75" thickBot="1" x14ac:dyDescent="0.3">
      <c r="E40" s="1086"/>
      <c r="F40" s="1111">
        <f>SUM(F36:F39)</f>
        <v>1973370</v>
      </c>
      <c r="G40" s="1112">
        <f>SUM(G36:G39)</f>
        <v>2084641</v>
      </c>
      <c r="H40" s="1115">
        <f>SUM(F40:G40)</f>
        <v>4058011</v>
      </c>
      <c r="I40" s="1117">
        <v>700000</v>
      </c>
    </row>
    <row r="41" spans="4:12" ht="15.75" thickBot="1" x14ac:dyDescent="0.3">
      <c r="E41" s="1086"/>
      <c r="F41" s="1086"/>
      <c r="G41" s="1086"/>
      <c r="H41" s="1086"/>
      <c r="I41" s="1117">
        <v>700000</v>
      </c>
    </row>
    <row r="42" spans="4:12" ht="15.75" thickBot="1" x14ac:dyDescent="0.3">
      <c r="E42" s="1086" t="s">
        <v>3698</v>
      </c>
      <c r="F42" s="1108">
        <v>2600000</v>
      </c>
      <c r="G42" s="1086"/>
      <c r="H42" s="1086"/>
      <c r="I42" s="1113">
        <f>SUM(I36:I41)</f>
        <v>3600000</v>
      </c>
    </row>
    <row r="43" spans="4:12" ht="15" x14ac:dyDescent="0.25">
      <c r="E43" s="1086" t="s">
        <v>952</v>
      </c>
      <c r="F43" s="1108">
        <v>1765293</v>
      </c>
      <c r="G43" s="1086"/>
      <c r="H43" s="1086"/>
      <c r="I43" s="1086"/>
    </row>
    <row r="44" spans="4:12" ht="15" x14ac:dyDescent="0.25">
      <c r="E44" s="1086" t="s">
        <v>3700</v>
      </c>
      <c r="F44" s="1108">
        <v>1296</v>
      </c>
      <c r="G44" s="1086"/>
      <c r="H44" s="1086"/>
      <c r="I44" s="1086"/>
    </row>
    <row r="45" spans="4:12" ht="15" x14ac:dyDescent="0.25">
      <c r="E45" s="1086"/>
      <c r="F45" s="1108">
        <f>SUM(F42:F44)</f>
        <v>4366589</v>
      </c>
      <c r="G45" s="1108"/>
      <c r="H45" s="1086"/>
      <c r="I45" s="1086"/>
    </row>
    <row r="46" spans="4:12" x14ac:dyDescent="0.2">
      <c r="H46" s="1087"/>
    </row>
    <row r="47" spans="4:12" x14ac:dyDescent="0.2">
      <c r="H47" s="108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50</vt:i4>
      </vt:variant>
      <vt:variant>
        <vt:lpstr>Névvel ellátott tartományok</vt:lpstr>
      </vt:variant>
      <vt:variant>
        <vt:i4>4</vt:i4>
      </vt:variant>
    </vt:vector>
  </HeadingPairs>
  <TitlesOfParts>
    <vt:vector size="54" baseType="lpstr">
      <vt:lpstr>Anyagköltség</vt:lpstr>
      <vt:lpstr>Munkadíj</vt:lpstr>
      <vt:lpstr>pénz</vt:lpstr>
      <vt:lpstr>teendők</vt:lpstr>
      <vt:lpstr>energetika</vt:lpstr>
      <vt:lpstr>napelem_kalk</vt:lpstr>
      <vt:lpstr>napelem ár</vt:lpstr>
      <vt:lpstr>áram 2017</vt:lpstr>
      <vt:lpstr>áramfogy diagram</vt:lpstr>
      <vt:lpstr>áramfogyasztás</vt:lpstr>
      <vt:lpstr>áramfogyasztás 2017</vt:lpstr>
      <vt:lpstr>költségek</vt:lpstr>
      <vt:lpstr>költségek építkezés</vt:lpstr>
      <vt:lpstr>tennivalók</vt:lpstr>
      <vt:lpstr>pellet</vt:lpstr>
      <vt:lpstr>kerítés 2.</vt:lpstr>
      <vt:lpstr>kerítés behajtó</vt:lpstr>
      <vt:lpstr>beép szekrények</vt:lpstr>
      <vt:lpstr>előtető 70</vt:lpstr>
      <vt:lpstr>előtető 105</vt:lpstr>
      <vt:lpstr>kerítés oldalkert</vt:lpstr>
      <vt:lpstr>kerítés hátsó ker</vt:lpstr>
      <vt:lpstr>térkő</vt:lpstr>
      <vt:lpstr>kontaktok</vt:lpstr>
      <vt:lpstr>Vas, fa</vt:lpstr>
      <vt:lpstr>burkolat</vt:lpstr>
      <vt:lpstr>burkolás 1</vt:lpstr>
      <vt:lpstr>burkolás 2+parkettta</vt:lpstr>
      <vt:lpstr>Nyílászáró</vt:lpstr>
      <vt:lpstr>hőszig</vt:lpstr>
      <vt:lpstr>festés</vt:lpstr>
      <vt:lpstr>fűtés</vt:lpstr>
      <vt:lpstr>villany</vt:lpstr>
      <vt:lpstr>légtechnika</vt:lpstr>
      <vt:lpstr>légtechnika 150re</vt:lpstr>
      <vt:lpstr>álmennyezet</vt:lpstr>
      <vt:lpstr>kémény</vt:lpstr>
      <vt:lpstr>ötletek</vt:lpstr>
      <vt:lpstr>info</vt:lpstr>
      <vt:lpstr>vakolat</vt:lpstr>
      <vt:lpstr>költségvetés banknak</vt:lpstr>
      <vt:lpstr>bádog</vt:lpstr>
      <vt:lpstr>tibi szerz.</vt:lpstr>
      <vt:lpstr>tibinek 2</vt:lpstr>
      <vt:lpstr>cserép</vt:lpstr>
      <vt:lpstr>tibinek</vt:lpstr>
      <vt:lpstr>zsalu</vt:lpstr>
      <vt:lpstr>födém</vt:lpstr>
      <vt:lpstr>hitel</vt:lpstr>
      <vt:lpstr>ingatanérték</vt:lpstr>
      <vt:lpstr>burkolat!Nyomtatási_terület</vt:lpstr>
      <vt:lpstr>cserép!Nyomtatási_terület</vt:lpstr>
      <vt:lpstr>'költségvetés banknak'!Nyomtatási_terület</vt:lpstr>
      <vt:lpstr>'Vas, fa'!Nyomtatási_terület</vt:lpstr>
    </vt:vector>
  </TitlesOfParts>
  <Company>Nóri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Nóri</dc:creator>
  <cp:lastModifiedBy>csabi</cp:lastModifiedBy>
  <cp:lastPrinted>2010-09-16T07:30:57Z</cp:lastPrinted>
  <dcterms:created xsi:type="dcterms:W3CDTF">2007-08-27T15:44:10Z</dcterms:created>
  <dcterms:modified xsi:type="dcterms:W3CDTF">2018-04-11T22:04:35Z</dcterms:modified>
</cp:coreProperties>
</file>