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/>
  <xr:revisionPtr revIDLastSave="0" documentId="13_ncr:1_{D0FF8EEC-92DD-A140-8758-7F0D69B67258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ummary Metrics" sheetId="1" r:id="rId1"/>
  </sheets>
  <calcPr calcId="191029" iterateDelta="1E-4"/>
</workbook>
</file>

<file path=xl/calcChain.xml><?xml version="1.0" encoding="utf-8"?>
<calcChain xmlns="http://schemas.openxmlformats.org/spreadsheetml/2006/main">
  <c r="D66" i="1" l="1"/>
  <c r="G28" i="1" l="1"/>
  <c r="F28" i="1"/>
  <c r="E56" i="1"/>
  <c r="D56" i="1"/>
  <c r="E48" i="1"/>
  <c r="D48" i="1"/>
  <c r="E41" i="1"/>
  <c r="D41" i="1"/>
  <c r="E34" i="1"/>
  <c r="D34" i="1"/>
  <c r="E27" i="1"/>
  <c r="D27" i="1"/>
  <c r="F19" i="1"/>
  <c r="G19" i="1" s="1"/>
  <c r="E19" i="1"/>
  <c r="H37" i="1"/>
  <c r="I37" i="1"/>
  <c r="J37" i="1"/>
  <c r="M37" i="1" s="1"/>
  <c r="G37" i="1"/>
  <c r="H30" i="1"/>
  <c r="H31" i="1" s="1"/>
  <c r="I30" i="1"/>
  <c r="I31" i="1" s="1"/>
  <c r="J30" i="1"/>
  <c r="J31" i="1" s="1"/>
  <c r="G30" i="1"/>
  <c r="G31" i="1" s="1"/>
  <c r="C60" i="1"/>
  <c r="C61" i="1" s="1"/>
  <c r="C62" i="1" s="1"/>
  <c r="G55" i="1"/>
  <c r="H55" i="1" s="1"/>
  <c r="I55" i="1" s="1"/>
  <c r="J55" i="1" s="1"/>
  <c r="E55" i="1"/>
  <c r="D53" i="1"/>
  <c r="E54" i="1" s="1"/>
  <c r="C53" i="1"/>
  <c r="F52" i="1"/>
  <c r="F53" i="1" s="1"/>
  <c r="F54" i="1" s="1"/>
  <c r="C52" i="1"/>
  <c r="G51" i="1"/>
  <c r="H51" i="1" s="1"/>
  <c r="I51" i="1" s="1"/>
  <c r="J51" i="1" s="1"/>
  <c r="G43" i="1"/>
  <c r="H43" i="1" s="1"/>
  <c r="I43" i="1" s="1"/>
  <c r="J43" i="1" s="1"/>
  <c r="G36" i="1"/>
  <c r="H36" i="1" s="1"/>
  <c r="I36" i="1" s="1"/>
  <c r="J36" i="1" s="1"/>
  <c r="E47" i="1"/>
  <c r="D45" i="1"/>
  <c r="E46" i="1" s="1"/>
  <c r="C45" i="1"/>
  <c r="F44" i="1"/>
  <c r="F48" i="1" s="1"/>
  <c r="C44" i="1"/>
  <c r="G22" i="1"/>
  <c r="H22" i="1" s="1"/>
  <c r="I22" i="1" s="1"/>
  <c r="J22" i="1" s="1"/>
  <c r="G29" i="1"/>
  <c r="H29" i="1" s="1"/>
  <c r="I29" i="1" s="1"/>
  <c r="J29" i="1" s="1"/>
  <c r="E40" i="1"/>
  <c r="F40" i="1" s="1"/>
  <c r="G40" i="1" s="1"/>
  <c r="H40" i="1" s="1"/>
  <c r="I40" i="1" s="1"/>
  <c r="D38" i="1"/>
  <c r="D40" i="1" s="1"/>
  <c r="C38" i="1"/>
  <c r="F37" i="1"/>
  <c r="F41" i="1" s="1"/>
  <c r="C37" i="1"/>
  <c r="G23" i="1"/>
  <c r="H23" i="1"/>
  <c r="I23" i="1"/>
  <c r="J23" i="1"/>
  <c r="M23" i="1" s="1"/>
  <c r="F23" i="1"/>
  <c r="F27" i="1" s="1"/>
  <c r="E33" i="1"/>
  <c r="D31" i="1"/>
  <c r="C31" i="1"/>
  <c r="F30" i="1"/>
  <c r="F31" i="1" s="1"/>
  <c r="F32" i="1" s="1"/>
  <c r="C30" i="1"/>
  <c r="F24" i="1"/>
  <c r="E26" i="1"/>
  <c r="D24" i="1"/>
  <c r="D26" i="1" s="1"/>
  <c r="C24" i="1"/>
  <c r="C23" i="1"/>
  <c r="F56" i="1" l="1"/>
  <c r="F34" i="1"/>
  <c r="G18" i="1"/>
  <c r="G34" i="1" s="1"/>
  <c r="H19" i="1"/>
  <c r="I19" i="1" s="1"/>
  <c r="J19" i="1" s="1"/>
  <c r="C26" i="1"/>
  <c r="C33" i="1"/>
  <c r="H67" i="1"/>
  <c r="G67" i="1"/>
  <c r="F67" i="1"/>
  <c r="N23" i="1"/>
  <c r="I67" i="1"/>
  <c r="D32" i="1"/>
  <c r="G32" i="1"/>
  <c r="N37" i="1"/>
  <c r="N31" i="1"/>
  <c r="M30" i="1"/>
  <c r="H32" i="1"/>
  <c r="G53" i="1"/>
  <c r="N30" i="1"/>
  <c r="C47" i="1"/>
  <c r="M31" i="1"/>
  <c r="C55" i="1"/>
  <c r="D55" i="1"/>
  <c r="D54" i="1"/>
  <c r="D47" i="1"/>
  <c r="D46" i="1"/>
  <c r="J32" i="1"/>
  <c r="D25" i="1"/>
  <c r="E25" i="1"/>
  <c r="G25" i="1" s="1"/>
  <c r="H25" i="1" s="1"/>
  <c r="I25" i="1" s="1"/>
  <c r="J25" i="1" s="1"/>
  <c r="E32" i="1"/>
  <c r="D39" i="1"/>
  <c r="I32" i="1"/>
  <c r="E39" i="1"/>
  <c r="F38" i="1"/>
  <c r="G38" i="1"/>
  <c r="C40" i="1"/>
  <c r="I38" i="1"/>
  <c r="J40" i="1"/>
  <c r="J38" i="1" s="1"/>
  <c r="H38" i="1"/>
  <c r="D33" i="1"/>
  <c r="G41" i="1" l="1"/>
  <c r="H53" i="1"/>
  <c r="H18" i="1"/>
  <c r="G27" i="1"/>
  <c r="G78" i="1"/>
  <c r="H78" i="1" s="1"/>
  <c r="G74" i="1"/>
  <c r="H74" i="1" s="1"/>
  <c r="F39" i="1"/>
  <c r="N38" i="1"/>
  <c r="G24" i="1"/>
  <c r="G26" i="1" s="1"/>
  <c r="J39" i="1"/>
  <c r="M38" i="1"/>
  <c r="I39" i="1"/>
  <c r="G52" i="1"/>
  <c r="G39" i="1"/>
  <c r="H39" i="1"/>
  <c r="G57" i="1" l="1"/>
  <c r="G56" i="1"/>
  <c r="H41" i="1"/>
  <c r="H34" i="1"/>
  <c r="H24" i="1"/>
  <c r="H26" i="1" s="1"/>
  <c r="F69" i="1"/>
  <c r="G80" i="1" s="1"/>
  <c r="H80" i="1" s="1"/>
  <c r="I53" i="1"/>
  <c r="H52" i="1"/>
  <c r="H27" i="1"/>
  <c r="I18" i="1"/>
  <c r="J18" i="1" s="1"/>
  <c r="G76" i="1" l="1"/>
  <c r="H76" i="1" s="1"/>
  <c r="I24" i="1"/>
  <c r="I26" i="1" s="1"/>
  <c r="H57" i="1"/>
  <c r="H56" i="1"/>
  <c r="I41" i="1"/>
  <c r="I34" i="1"/>
  <c r="G69" i="1"/>
  <c r="J53" i="1"/>
  <c r="I52" i="1"/>
  <c r="I27" i="1"/>
  <c r="J24" i="1"/>
  <c r="G47" i="1"/>
  <c r="H47" i="1" s="1"/>
  <c r="I47" i="1" s="1"/>
  <c r="J47" i="1" s="1"/>
  <c r="F45" i="1"/>
  <c r="I57" i="1" l="1"/>
  <c r="I56" i="1"/>
  <c r="J34" i="1"/>
  <c r="J41" i="1"/>
  <c r="H69" i="1"/>
  <c r="J52" i="1"/>
  <c r="M53" i="1"/>
  <c r="N53" i="1"/>
  <c r="J27" i="1"/>
  <c r="G45" i="1"/>
  <c r="J26" i="1"/>
  <c r="N24" i="1"/>
  <c r="M24" i="1"/>
  <c r="F46" i="1"/>
  <c r="J57" i="1" l="1"/>
  <c r="J56" i="1"/>
  <c r="I69" i="1"/>
  <c r="N52" i="1"/>
  <c r="M52" i="1"/>
  <c r="G44" i="1"/>
  <c r="H45" i="1"/>
  <c r="G49" i="1" l="1"/>
  <c r="G48" i="1"/>
  <c r="F68" i="1"/>
  <c r="G79" i="1" s="1"/>
  <c r="I45" i="1"/>
  <c r="H44" i="1"/>
  <c r="H49" i="1" l="1"/>
  <c r="H48" i="1"/>
  <c r="J45" i="1"/>
  <c r="I44" i="1"/>
  <c r="G68" i="1"/>
  <c r="H79" i="1" s="1"/>
  <c r="G75" i="1"/>
  <c r="H75" i="1" s="1"/>
  <c r="I49" i="1" l="1"/>
  <c r="I48" i="1"/>
  <c r="J44" i="1"/>
  <c r="N45" i="1"/>
  <c r="M45" i="1"/>
  <c r="H68" i="1"/>
  <c r="I68" i="1" l="1"/>
  <c r="J49" i="1"/>
  <c r="J48" i="1"/>
  <c r="N44" i="1"/>
  <c r="M44" i="1"/>
</calcChain>
</file>

<file path=xl/sharedStrings.xml><?xml version="1.0" encoding="utf-8"?>
<sst xmlns="http://schemas.openxmlformats.org/spreadsheetml/2006/main" count="128" uniqueCount="71">
  <si>
    <t>2017</t>
  </si>
  <si>
    <t>2018</t>
  </si>
  <si>
    <t>2019</t>
  </si>
  <si>
    <t>2020</t>
  </si>
  <si>
    <t>Revenue</t>
  </si>
  <si>
    <t>-</t>
  </si>
  <si>
    <t>Revenue Growth</t>
  </si>
  <si>
    <t>Gross Profit</t>
  </si>
  <si>
    <t>Gross Margin</t>
  </si>
  <si>
    <t>Operating Profit</t>
  </si>
  <si>
    <t>Operating Margin</t>
  </si>
  <si>
    <t>EBITDA</t>
  </si>
  <si>
    <t>EBITDA Margin</t>
  </si>
  <si>
    <t>Diluted EPS</t>
  </si>
  <si>
    <t>EPS Growth</t>
  </si>
  <si>
    <t>Free Cash Flow</t>
  </si>
  <si>
    <t>Net Income</t>
  </si>
  <si>
    <t>Plus: Depreciation &amp; Amortization</t>
  </si>
  <si>
    <t>Less: Capital Expenditures</t>
  </si>
  <si>
    <t>VF Revenue</t>
  </si>
  <si>
    <t>PR Market Size</t>
  </si>
  <si>
    <t>VF Market Share</t>
  </si>
  <si>
    <t>PR Market Growth</t>
  </si>
  <si>
    <t>Constrant market share</t>
  </si>
  <si>
    <t>25% market CAGR</t>
  </si>
  <si>
    <t>20% revenue CAGR</t>
  </si>
  <si>
    <t>PR -&gt; half of specialty egg (cage free) market by 2024</t>
  </si>
  <si>
    <t>Declining market share</t>
  </si>
  <si>
    <t>33% market CAGR - higher than last 3 years</t>
  </si>
  <si>
    <t>Assumes/Implies</t>
  </si>
  <si>
    <t>Sellside correct</t>
  </si>
  <si>
    <t>Sellside wrong</t>
  </si>
  <si>
    <t>Revenue Difference</t>
  </si>
  <si>
    <t>Market same size in 2021. Growth slows overall</t>
  </si>
  <si>
    <t>Incereased competition = declining market share</t>
  </si>
  <si>
    <t>S/S Scenario 1</t>
  </si>
  <si>
    <t>S/S Scenario 2</t>
  </si>
  <si>
    <t>S/S Scenario 3</t>
  </si>
  <si>
    <t>Realistic Scenario</t>
  </si>
  <si>
    <t>Generous Scenario</t>
  </si>
  <si>
    <t>Market</t>
  </si>
  <si>
    <t>CAGR</t>
  </si>
  <si>
    <t>Market same size in 2021. Growth slows as it nears saturation</t>
  </si>
  <si>
    <t>Generous</t>
  </si>
  <si>
    <t>Realistic</t>
  </si>
  <si>
    <t>2021 EV/EBITDA</t>
  </si>
  <si>
    <t>2022 EV/EBITDA</t>
  </si>
  <si>
    <t>2023 EV/EBITDA</t>
  </si>
  <si>
    <t>2024 EV/EBITDA</t>
  </si>
  <si>
    <t>S/S</t>
  </si>
  <si>
    <t>Margin</t>
  </si>
  <si>
    <t>2021 Multiple</t>
  </si>
  <si>
    <t>Implied Price</t>
  </si>
  <si>
    <t>2022 Multiple</t>
  </si>
  <si>
    <t>Downside</t>
  </si>
  <si>
    <t>EOY Stores</t>
  </si>
  <si>
    <t>Growth</t>
  </si>
  <si>
    <t>Revenue/Store</t>
  </si>
  <si>
    <t>Vital Farms Inc</t>
  </si>
  <si>
    <t>Base year</t>
  </si>
  <si>
    <t>No loss in market share</t>
  </si>
  <si>
    <t>About 40,000 Grocery Stores in the USA</t>
  </si>
  <si>
    <t>Price</t>
  </si>
  <si>
    <t>EV</t>
  </si>
  <si>
    <t>Shares Outstanding</t>
  </si>
  <si>
    <t>Shares Outstanding (,000)</t>
  </si>
  <si>
    <t>2021 E</t>
  </si>
  <si>
    <t>2022 E</t>
  </si>
  <si>
    <t>2023 E</t>
  </si>
  <si>
    <t>2024 E</t>
  </si>
  <si>
    <t>EV 12/21/2020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</si>
</sst>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#,##0.0;\(#,##0.0\)"/>
    <numFmt numFmtId="165" formatCode="0.0%;\(0.0%\)"/>
    <numFmt numFmtId="166" formatCode="#,##0.00;\(#,##0.00\)"/>
    <numFmt numFmtId="167" formatCode="_(&quot;$&quot;* #,##0_);_(&quot;$&quot;* \(#,##0\);_(&quot;$&quot;* &quot;-&quot;??_);_(@_)"/>
  </numFmts>
  <fonts count="12">
    <font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167" fontId="0" fillId="0" borderId="0" xfId="1" applyNumberFormat="1" applyFont="1"/>
    <xf numFmtId="44" fontId="0" fillId="0" borderId="0" xfId="0" applyNumberFormat="1"/>
    <xf numFmtId="9" fontId="0" fillId="0" borderId="0" xfId="2" applyFont="1"/>
    <xf numFmtId="164" fontId="7" fillId="0" borderId="0" xfId="0" applyNumberFormat="1" applyFont="1"/>
    <xf numFmtId="9" fontId="8" fillId="0" borderId="0" xfId="2" applyFont="1"/>
    <xf numFmtId="9" fontId="4" fillId="0" borderId="0" xfId="2" applyFont="1"/>
    <xf numFmtId="164" fontId="9" fillId="0" borderId="0" xfId="0" applyNumberFormat="1" applyFont="1"/>
    <xf numFmtId="0" fontId="0" fillId="0" borderId="1" xfId="0" applyBorder="1"/>
    <xf numFmtId="0" fontId="10" fillId="0" borderId="0" xfId="0" applyFont="1"/>
    <xf numFmtId="0" fontId="11" fillId="0" borderId="0" xfId="0" applyFont="1"/>
    <xf numFmtId="49" fontId="1" fillId="0" borderId="0" xfId="0" applyNumberFormat="1" applyFont="1" applyBorder="1" applyAlignment="1">
      <alignment horizontal="center"/>
    </xf>
    <xf numFmtId="0" fontId="0" fillId="0" borderId="0" xfId="0" applyBorder="1"/>
    <xf numFmtId="9" fontId="8" fillId="0" borderId="0" xfId="2" applyFont="1" applyBorder="1"/>
    <xf numFmtId="44" fontId="0" fillId="0" borderId="0" xfId="1" applyFont="1"/>
    <xf numFmtId="164" fontId="11" fillId="0" borderId="0" xfId="0" applyNumberFormat="1" applyFont="1"/>
    <xf numFmtId="164" fontId="11" fillId="0" borderId="1" xfId="0" applyNumberFormat="1" applyFont="1" applyBorder="1"/>
    <xf numFmtId="164" fontId="11" fillId="0" borderId="3" xfId="0" applyNumberFormat="1" applyFont="1" applyBorder="1"/>
    <xf numFmtId="164" fontId="8" fillId="0" borderId="0" xfId="0" applyNumberFormat="1" applyFont="1"/>
    <xf numFmtId="164" fontId="11" fillId="0" borderId="5" xfId="0" applyNumberFormat="1" applyFont="1" applyBorder="1"/>
    <xf numFmtId="9" fontId="8" fillId="0" borderId="4" xfId="2" applyFont="1" applyBorder="1"/>
    <xf numFmtId="167" fontId="0" fillId="0" borderId="2" xfId="1" applyNumberFormat="1" applyFont="1" applyBorder="1"/>
    <xf numFmtId="0" fontId="0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9" fontId="6" fillId="0" borderId="0" xfId="2" applyFont="1" applyAlignment="1">
      <alignment horizontal="right"/>
    </xf>
    <xf numFmtId="164" fontId="0" fillId="0" borderId="0" xfId="0" applyNumberForma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81"/>
  <sheetViews>
    <sheetView showGridLines="0" tabSelected="1" workbookViewId="0">
      <pane xSplit="2" ySplit="1" topLeftCell="C2" activePane="bottomRight" state="frozen"/>
      <selection pane="topRight"/>
      <selection pane="bottomLeft"/>
      <selection pane="bottomRight" activeCell="I57" sqref="I57"/>
    </sheetView>
  </sheetViews>
  <sheetFormatPr baseColWidth="10" defaultColWidth="8.83203125" defaultRowHeight="15"/>
  <cols>
    <col min="1" max="1" width="3.33203125" customWidth="1"/>
    <col min="2" max="2" width="27.5" bestFit="1" customWidth="1"/>
    <col min="3" max="10" width="16.83203125" style="1" customWidth="1"/>
    <col min="11" max="11" width="2.6640625" style="1" customWidth="1"/>
    <col min="12" max="12" width="13.1640625" style="1" customWidth="1"/>
    <col min="13" max="13" width="7.83203125" customWidth="1"/>
    <col min="15" max="15" width="3.33203125" customWidth="1"/>
    <col min="16" max="16" width="47.83203125" customWidth="1"/>
  </cols>
  <sheetData>
    <row r="1" spans="2:12" s="2" customFormat="1" ht="21">
      <c r="B1" s="3" t="s">
        <v>58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66</v>
      </c>
      <c r="H1" s="4" t="s">
        <v>67</v>
      </c>
      <c r="I1" s="4" t="s">
        <v>68</v>
      </c>
      <c r="J1" s="4" t="s">
        <v>69</v>
      </c>
      <c r="K1" s="19"/>
    </row>
    <row r="2" spans="2:12" s="5" customFormat="1">
      <c r="B2" s="5" t="s">
        <v>4</v>
      </c>
      <c r="C2" s="6">
        <v>74</v>
      </c>
      <c r="D2" s="6">
        <v>106.71299999999999</v>
      </c>
      <c r="E2" s="6">
        <v>140.733</v>
      </c>
      <c r="F2" s="12">
        <v>212.13433333</v>
      </c>
      <c r="G2" s="12">
        <v>245.30633333</v>
      </c>
      <c r="H2" s="12">
        <v>309.08699999999999</v>
      </c>
      <c r="I2" s="12">
        <v>415</v>
      </c>
      <c r="J2" s="12">
        <v>522</v>
      </c>
      <c r="K2" s="12"/>
    </row>
    <row r="3" spans="2:12" s="7" customFormat="1">
      <c r="B3" s="7" t="s">
        <v>6</v>
      </c>
      <c r="C3" s="7" t="s">
        <v>5</v>
      </c>
      <c r="D3" s="7">
        <v>0.44206756756756738</v>
      </c>
      <c r="E3" s="7">
        <v>0.3187990216749601</v>
      </c>
      <c r="F3" s="7">
        <v>0.50735316755842619</v>
      </c>
      <c r="G3" s="7">
        <v>0.15637261295368465</v>
      </c>
      <c r="H3" s="7">
        <v>0.26000415808343047</v>
      </c>
      <c r="I3" s="7">
        <v>0.34266403957461811</v>
      </c>
      <c r="J3" s="7">
        <v>0.25783132530120478</v>
      </c>
    </row>
    <row r="4" spans="2:12" s="5" customFormat="1">
      <c r="B4" s="5" t="s">
        <v>7</v>
      </c>
      <c r="C4" s="6">
        <v>18.388000000000002</v>
      </c>
      <c r="D4" s="6">
        <v>34.819000000000003</v>
      </c>
      <c r="E4" s="6">
        <v>42.877000000000002</v>
      </c>
      <c r="F4" s="6">
        <v>73.382922821473613</v>
      </c>
      <c r="G4" s="6">
        <v>81.042671021832987</v>
      </c>
      <c r="H4" s="6">
        <v>102.92597099999999</v>
      </c>
      <c r="I4" s="6">
        <v>145.66500000000002</v>
      </c>
      <c r="J4" s="6">
        <v>186.35400000000001</v>
      </c>
      <c r="K4" s="6"/>
    </row>
    <row r="5" spans="2:12" s="7" customFormat="1">
      <c r="B5" s="7" t="s">
        <v>8</v>
      </c>
      <c r="C5" s="7">
        <v>0.2484864864864865</v>
      </c>
      <c r="D5" s="7">
        <v>0.32628639434745532</v>
      </c>
      <c r="E5" s="7">
        <v>0.30466912522293987</v>
      </c>
      <c r="F5" s="7">
        <v>0.3459266667</v>
      </c>
      <c r="G5" s="7">
        <v>0.33037333330000002</v>
      </c>
      <c r="H5" s="7">
        <v>0.33299999999999996</v>
      </c>
      <c r="I5" s="7">
        <v>0.35100000000000003</v>
      </c>
      <c r="J5" s="7">
        <v>0.35700000000000004</v>
      </c>
    </row>
    <row r="6" spans="2:12" s="5" customFormat="1">
      <c r="B6" s="5" t="s">
        <v>9</v>
      </c>
      <c r="C6" s="6">
        <v>-1.597</v>
      </c>
      <c r="D6" s="6">
        <v>6.7670000000000003</v>
      </c>
      <c r="E6" s="6">
        <v>3.35</v>
      </c>
      <c r="F6" s="6">
        <v>13.243166670000001</v>
      </c>
      <c r="G6" s="6">
        <v>1.35633333</v>
      </c>
      <c r="H6" s="6">
        <v>6.8949999999999996</v>
      </c>
      <c r="I6" s="6">
        <v>29</v>
      </c>
      <c r="J6" s="6">
        <v>49</v>
      </c>
      <c r="K6" s="6"/>
    </row>
    <row r="7" spans="2:12" s="7" customFormat="1">
      <c r="B7" s="7" t="s">
        <v>10</v>
      </c>
      <c r="C7" s="7">
        <v>-2.1581081081081081E-2</v>
      </c>
      <c r="D7" s="7">
        <v>6.3413079943399592E-2</v>
      </c>
      <c r="E7" s="7">
        <v>2.380394079569113E-2</v>
      </c>
      <c r="F7" s="7">
        <v>6.2428209814573907E-2</v>
      </c>
      <c r="G7" s="7">
        <v>5.5291411012017514E-3</v>
      </c>
      <c r="H7" s="7">
        <v>2.2307635067149379E-2</v>
      </c>
      <c r="I7" s="7">
        <v>6.9879518072289162E-2</v>
      </c>
      <c r="J7" s="7">
        <v>9.3869731800766285E-2</v>
      </c>
    </row>
    <row r="8" spans="2:12" s="5" customFormat="1">
      <c r="B8" s="5" t="s">
        <v>11</v>
      </c>
      <c r="C8" s="6">
        <v>-0.77600000000000002</v>
      </c>
      <c r="D8" s="6">
        <v>8.2040000000000006</v>
      </c>
      <c r="E8" s="6">
        <v>5.2709999999999999</v>
      </c>
      <c r="F8" s="6">
        <v>16.5565</v>
      </c>
      <c r="G8" s="6">
        <v>10.672000000000001</v>
      </c>
      <c r="H8" s="6">
        <v>20.30425</v>
      </c>
      <c r="I8" s="6">
        <v>49</v>
      </c>
      <c r="J8" s="6">
        <v>72</v>
      </c>
      <c r="K8" s="6"/>
    </row>
    <row r="9" spans="2:12" s="7" customFormat="1">
      <c r="B9" s="7" t="s">
        <v>12</v>
      </c>
      <c r="C9" s="7">
        <v>-1.0486486486486486E-2</v>
      </c>
      <c r="D9" s="7">
        <v>7.6879105638488293E-2</v>
      </c>
      <c r="E9" s="7">
        <v>3.7453902069876997E-2</v>
      </c>
      <c r="F9" s="7">
        <v>7.8047243650297804E-2</v>
      </c>
      <c r="G9" s="7">
        <v>4.3504787891649827E-2</v>
      </c>
      <c r="H9" s="7">
        <v>6.5691051386826363E-2</v>
      </c>
      <c r="I9" s="7">
        <v>0.1180722891566265</v>
      </c>
      <c r="J9" s="7">
        <v>0.13793103448275862</v>
      </c>
    </row>
    <row r="10" spans="2:12" s="8" customFormat="1">
      <c r="B10" s="8" t="s">
        <v>13</v>
      </c>
      <c r="C10" s="8">
        <v>-5.0970000000000001E-2</v>
      </c>
      <c r="D10" s="8">
        <v>0.16850999999999999</v>
      </c>
      <c r="E10" s="8">
        <v>3.9260000000000003E-2</v>
      </c>
      <c r="F10" s="8">
        <v>0.22666666999999999</v>
      </c>
      <c r="G10" s="8">
        <v>3.3750000000000002E-2</v>
      </c>
      <c r="H10" s="8">
        <v>0.105</v>
      </c>
      <c r="I10" s="8">
        <v>0.55000000000000004</v>
      </c>
      <c r="J10" s="8">
        <v>1.07</v>
      </c>
    </row>
    <row r="11" spans="2:12" s="7" customFormat="1">
      <c r="B11" s="7" t="s">
        <v>14</v>
      </c>
      <c r="C11" s="7" t="s">
        <v>5</v>
      </c>
      <c r="D11" s="7">
        <v>-4.3060623896409655</v>
      </c>
      <c r="E11" s="7">
        <v>-0.76701679425553371</v>
      </c>
      <c r="F11" s="7">
        <v>4.7734760570555261</v>
      </c>
      <c r="G11" s="7">
        <v>-0.85110294336613324</v>
      </c>
      <c r="H11" s="7">
        <v>2.1111111111111107</v>
      </c>
      <c r="I11" s="7">
        <v>4.238095238095239</v>
      </c>
      <c r="J11" s="7">
        <v>0.94545454545454533</v>
      </c>
    </row>
    <row r="12" spans="2:12" s="5" customFormat="1">
      <c r="B12" s="5" t="s">
        <v>15</v>
      </c>
    </row>
    <row r="13" spans="2:12">
      <c r="B13" t="s">
        <v>16</v>
      </c>
      <c r="C13" s="1">
        <v>-1.92</v>
      </c>
      <c r="D13" s="1">
        <v>5.7969999999999997</v>
      </c>
      <c r="E13" s="1">
        <v>2.3849999999999998</v>
      </c>
      <c r="F13" s="1">
        <v>8.1111666699999994</v>
      </c>
      <c r="G13" s="1">
        <v>1.0871999999999999</v>
      </c>
      <c r="H13" s="1">
        <v>4.5105000000000004</v>
      </c>
      <c r="I13" s="1">
        <v>22</v>
      </c>
      <c r="J13" s="1">
        <v>42</v>
      </c>
      <c r="L13"/>
    </row>
    <row r="14" spans="2:12">
      <c r="B14" t="s">
        <v>17</v>
      </c>
      <c r="C14" s="1">
        <v>0.82099999999999995</v>
      </c>
      <c r="D14" s="1">
        <v>1.4370000000000001</v>
      </c>
      <c r="E14" s="1">
        <v>1.921</v>
      </c>
      <c r="F14" s="1">
        <v>3.3133333299999999</v>
      </c>
      <c r="G14" s="1">
        <v>9.3156666700000006</v>
      </c>
      <c r="H14" s="1">
        <v>13.40925</v>
      </c>
      <c r="I14" s="1">
        <v>20</v>
      </c>
      <c r="J14" s="1">
        <v>23</v>
      </c>
      <c r="L14"/>
    </row>
    <row r="15" spans="2:12">
      <c r="B15" t="s">
        <v>18</v>
      </c>
      <c r="C15" s="1">
        <v>-11.704000000000001</v>
      </c>
      <c r="D15" s="1">
        <v>-1.94</v>
      </c>
      <c r="E15" s="1">
        <v>-4.7990000000000004</v>
      </c>
      <c r="F15" s="1">
        <v>7.6040000000000001</v>
      </c>
      <c r="G15" s="1">
        <v>35.549999999999997</v>
      </c>
      <c r="H15" s="1">
        <v>35.1</v>
      </c>
      <c r="I15" s="1">
        <v>7.9</v>
      </c>
      <c r="J15" s="1">
        <v>9.9</v>
      </c>
      <c r="L15"/>
    </row>
    <row r="16" spans="2:12">
      <c r="L16"/>
    </row>
    <row r="18" spans="2:16">
      <c r="B18" s="31" t="s">
        <v>55</v>
      </c>
      <c r="D18">
        <v>10544</v>
      </c>
      <c r="E18" s="1">
        <v>14677</v>
      </c>
      <c r="F18" s="26">
        <v>16911.440000000002</v>
      </c>
      <c r="G18" s="1">
        <f>F18*(1+G19)</f>
        <v>18978.71000389726</v>
      </c>
      <c r="H18" s="1">
        <f t="shared" ref="H18:J18" si="0">G18*(1+H19)</f>
        <v>20729.323697259406</v>
      </c>
      <c r="I18" s="1">
        <f t="shared" si="0"/>
        <v>22019.535899390867</v>
      </c>
      <c r="J18" s="1">
        <f t="shared" si="0"/>
        <v>22729.466020504977</v>
      </c>
      <c r="L18" s="1" t="s">
        <v>61</v>
      </c>
      <c r="M18" s="11"/>
      <c r="N18" s="11"/>
    </row>
    <row r="19" spans="2:16">
      <c r="B19" s="31" t="s">
        <v>56</v>
      </c>
      <c r="E19" s="11">
        <f>E18/D18-1</f>
        <v>0.39197647951441583</v>
      </c>
      <c r="F19" s="11">
        <f>F18/E18-1</f>
        <v>0.15224092116917642</v>
      </c>
      <c r="G19" s="13">
        <f>F19-0.03</f>
        <v>0.12224092116917643</v>
      </c>
      <c r="H19" s="13">
        <f t="shared" ref="H19:J19" si="1">G19-0.03</f>
        <v>9.2240921169176426E-2</v>
      </c>
      <c r="I19" s="13">
        <f t="shared" si="1"/>
        <v>6.2240921169176427E-2</v>
      </c>
      <c r="J19" s="13">
        <f t="shared" si="1"/>
        <v>3.2240921169176429E-2</v>
      </c>
    </row>
    <row r="20" spans="2:16">
      <c r="B20" s="31"/>
    </row>
    <row r="21" spans="2:16">
      <c r="B21" s="31"/>
      <c r="M21" t="s">
        <v>59</v>
      </c>
    </row>
    <row r="22" spans="2:16">
      <c r="B22" s="32" t="s">
        <v>35</v>
      </c>
      <c r="C22" s="16">
        <v>2017</v>
      </c>
      <c r="D22" s="16">
        <v>2018</v>
      </c>
      <c r="E22" s="16">
        <v>2019</v>
      </c>
      <c r="F22" s="16">
        <v>2020</v>
      </c>
      <c r="G22" s="16">
        <f>F22+1</f>
        <v>2021</v>
      </c>
      <c r="H22" s="16">
        <f t="shared" ref="H22:J22" si="2">G22+1</f>
        <v>2022</v>
      </c>
      <c r="I22" s="16">
        <f t="shared" si="2"/>
        <v>2023</v>
      </c>
      <c r="J22" s="16">
        <f t="shared" si="2"/>
        <v>2024</v>
      </c>
      <c r="K22" s="20"/>
      <c r="L22" t="s">
        <v>41</v>
      </c>
      <c r="M22" s="16">
        <v>2019</v>
      </c>
      <c r="N22" s="16">
        <v>2020</v>
      </c>
      <c r="P22" s="17" t="s">
        <v>29</v>
      </c>
    </row>
    <row r="23" spans="2:16">
      <c r="B23" s="33" t="s">
        <v>19</v>
      </c>
      <c r="C23" s="9">
        <f>74000*0.9</f>
        <v>66600</v>
      </c>
      <c r="D23" s="9">
        <v>98967</v>
      </c>
      <c r="E23" s="9">
        <v>128579</v>
      </c>
      <c r="F23" s="9">
        <f>F$2*1000*0.9</f>
        <v>190920.899997</v>
      </c>
      <c r="G23" s="9">
        <f>G$2*1000*0.9</f>
        <v>220775.69999699999</v>
      </c>
      <c r="H23" s="9">
        <f>H$2*1000*0.9</f>
        <v>278178.3</v>
      </c>
      <c r="I23" s="9">
        <f>I$2*1000*0.9</f>
        <v>373500</v>
      </c>
      <c r="J23" s="9">
        <f>J$2*1000*0.9</f>
        <v>469800</v>
      </c>
      <c r="K23" s="9"/>
      <c r="L23" t="s">
        <v>4</v>
      </c>
      <c r="M23" s="11">
        <f>_xlfn.RRI(5,E23,J23)</f>
        <v>0.29583168156533524</v>
      </c>
      <c r="N23" s="11">
        <f>_xlfn.RRI(4,F23,J23)</f>
        <v>0.25246294226398969</v>
      </c>
      <c r="P23" s="15" t="s">
        <v>25</v>
      </c>
    </row>
    <row r="24" spans="2:16">
      <c r="B24" s="33" t="s">
        <v>20</v>
      </c>
      <c r="C24" s="9">
        <f>E24*0.44</f>
        <v>77880</v>
      </c>
      <c r="D24" s="10">
        <f>E24/1.317</f>
        <v>134396.35535307517</v>
      </c>
      <c r="E24" s="9">
        <v>177000</v>
      </c>
      <c r="F24" s="9">
        <f>E24*(1+F25)</f>
        <v>265500</v>
      </c>
      <c r="G24" s="9">
        <f t="shared" ref="G24:J24" si="3">F24*(1+G25)</f>
        <v>336388.5</v>
      </c>
      <c r="H24" s="9">
        <f t="shared" si="3"/>
        <v>409384.80450000003</v>
      </c>
      <c r="I24" s="9">
        <f t="shared" si="3"/>
        <v>477752.06685150007</v>
      </c>
      <c r="J24" s="9">
        <f t="shared" si="3"/>
        <v>533649.05867312558</v>
      </c>
      <c r="K24" s="9"/>
      <c r="L24" t="s">
        <v>40</v>
      </c>
      <c r="M24" s="11">
        <f>_xlfn.RRI(5,E24,J24)</f>
        <v>0.24697140994837086</v>
      </c>
      <c r="N24" s="11">
        <f>_xlfn.RRI(4,F24,J24)</f>
        <v>0.1906875307083693</v>
      </c>
      <c r="P24" s="15" t="s">
        <v>26</v>
      </c>
    </row>
    <row r="25" spans="2:16">
      <c r="B25" s="34" t="s">
        <v>22</v>
      </c>
      <c r="C25" s="11"/>
      <c r="D25" s="11">
        <f>(D24/C24-1)</f>
        <v>0.72568509698350248</v>
      </c>
      <c r="E25" s="11">
        <f t="shared" ref="E25" si="4">(E24/D24-1)</f>
        <v>0.31699999999999995</v>
      </c>
      <c r="F25" s="13">
        <v>0.5</v>
      </c>
      <c r="G25" s="13">
        <f>E25-0.05</f>
        <v>0.26699999999999996</v>
      </c>
      <c r="H25" s="13">
        <f>G25-0.05</f>
        <v>0.21699999999999997</v>
      </c>
      <c r="I25" s="13">
        <f t="shared" ref="I25:J25" si="5">H25-0.05</f>
        <v>0.16699999999999998</v>
      </c>
      <c r="J25" s="13">
        <f t="shared" si="5"/>
        <v>0.11699999999999998</v>
      </c>
      <c r="K25" s="13"/>
      <c r="L25"/>
      <c r="P25" s="30" t="s">
        <v>60</v>
      </c>
    </row>
    <row r="26" spans="2:16">
      <c r="B26" s="33" t="s">
        <v>21</v>
      </c>
      <c r="C26" s="11">
        <f>C23/C24</f>
        <v>0.85516178736517723</v>
      </c>
      <c r="D26" s="11">
        <f t="shared" ref="D26:E26" si="6">D23/D24</f>
        <v>0.7363815762711865</v>
      </c>
      <c r="E26" s="11">
        <f t="shared" si="6"/>
        <v>0.72643502824858752</v>
      </c>
      <c r="F26" s="11">
        <v>0.73</v>
      </c>
      <c r="G26" s="11">
        <f t="shared" ref="G26:J26" si="7">G23/G24</f>
        <v>0.65631167533075596</v>
      </c>
      <c r="H26" s="11">
        <f t="shared" si="7"/>
        <v>0.67950323739971641</v>
      </c>
      <c r="I26" s="11">
        <f t="shared" si="7"/>
        <v>0.78178625675332813</v>
      </c>
      <c r="J26" s="11">
        <f t="shared" si="7"/>
        <v>0.88035384371916447</v>
      </c>
      <c r="K26" s="11"/>
      <c r="L26"/>
      <c r="P26" s="18" t="s">
        <v>30</v>
      </c>
    </row>
    <row r="27" spans="2:16">
      <c r="B27" s="35" t="s">
        <v>57</v>
      </c>
      <c r="D27" s="9">
        <f>(D23*1000)/D$18</f>
        <v>9386.0963581183605</v>
      </c>
      <c r="E27" s="9">
        <f t="shared" ref="E27:J27" si="8">(E23*1000)/E$18</f>
        <v>8760.5777747496086</v>
      </c>
      <c r="F27" s="9">
        <f t="shared" si="8"/>
        <v>11289.452583399165</v>
      </c>
      <c r="G27" s="9">
        <f t="shared" si="8"/>
        <v>11632.808549773083</v>
      </c>
      <c r="H27" s="9">
        <f t="shared" si="8"/>
        <v>13419.55502565564</v>
      </c>
      <c r="I27" s="9">
        <f t="shared" si="8"/>
        <v>16962.210362041838</v>
      </c>
      <c r="J27" s="9">
        <f t="shared" si="8"/>
        <v>20669.205320361616</v>
      </c>
      <c r="L27"/>
    </row>
    <row r="28" spans="2:16">
      <c r="B28" s="35"/>
      <c r="F28" s="11">
        <f>F27/E27-1</f>
        <v>0.28866529967218235</v>
      </c>
      <c r="G28" s="11">
        <f>F28/2</f>
        <v>0.14433264983609118</v>
      </c>
      <c r="M28" t="s">
        <v>59</v>
      </c>
    </row>
    <row r="29" spans="2:16">
      <c r="B29" s="32" t="s">
        <v>36</v>
      </c>
      <c r="C29" s="16">
        <v>2017</v>
      </c>
      <c r="D29" s="16">
        <v>2018</v>
      </c>
      <c r="E29" s="16">
        <v>2019</v>
      </c>
      <c r="F29" s="16">
        <v>2020</v>
      </c>
      <c r="G29" s="16">
        <f>F29+1</f>
        <v>2021</v>
      </c>
      <c r="H29" s="16">
        <f t="shared" ref="H29:J29" si="9">G29+1</f>
        <v>2022</v>
      </c>
      <c r="I29" s="16">
        <f t="shared" si="9"/>
        <v>2023</v>
      </c>
      <c r="J29" s="16">
        <f t="shared" si="9"/>
        <v>2024</v>
      </c>
      <c r="K29" s="20"/>
      <c r="L29" t="s">
        <v>41</v>
      </c>
      <c r="M29" s="16">
        <v>2019</v>
      </c>
      <c r="N29" s="16">
        <v>2020</v>
      </c>
      <c r="P29" s="17" t="s">
        <v>29</v>
      </c>
    </row>
    <row r="30" spans="2:16">
      <c r="B30" s="33" t="s">
        <v>19</v>
      </c>
      <c r="C30" s="9">
        <f>74000*0.9</f>
        <v>66600</v>
      </c>
      <c r="D30" s="9">
        <v>98967</v>
      </c>
      <c r="E30" s="9">
        <v>128579</v>
      </c>
      <c r="F30" s="9">
        <f>F$2*1000</f>
        <v>212134.33332999999</v>
      </c>
      <c r="G30" s="9">
        <f>G$2*1000*0.9</f>
        <v>220775.69999699999</v>
      </c>
      <c r="H30" s="9">
        <f t="shared" ref="H30:J30" si="10">H$2*1000*0.9</f>
        <v>278178.3</v>
      </c>
      <c r="I30" s="9">
        <f t="shared" si="10"/>
        <v>373500</v>
      </c>
      <c r="J30" s="9">
        <f t="shared" si="10"/>
        <v>469800</v>
      </c>
      <c r="K30" s="9"/>
      <c r="L30" t="s">
        <v>4</v>
      </c>
      <c r="M30" s="11">
        <f>_xlfn.RRI(5,E30,J30)</f>
        <v>0.29583168156533524</v>
      </c>
      <c r="N30" s="11">
        <f>_xlfn.RRI(4,F30,J30)</f>
        <v>0.21990359802397608</v>
      </c>
      <c r="P30" s="1" t="s">
        <v>24</v>
      </c>
    </row>
    <row r="31" spans="2:16">
      <c r="B31" s="33" t="s">
        <v>20</v>
      </c>
      <c r="C31" s="9">
        <f>E31*0.44</f>
        <v>77880</v>
      </c>
      <c r="D31" s="10">
        <f>E31/1.317</f>
        <v>134396.35535307517</v>
      </c>
      <c r="E31" s="9">
        <v>177000</v>
      </c>
      <c r="F31" s="9">
        <f>F30/F33</f>
        <v>290594.97716438357</v>
      </c>
      <c r="G31" s="9">
        <f t="shared" ref="G31:J31" si="11">G30/G33</f>
        <v>302432.46574931504</v>
      </c>
      <c r="H31" s="9">
        <f t="shared" si="11"/>
        <v>381066.16438356164</v>
      </c>
      <c r="I31" s="9">
        <f t="shared" si="11"/>
        <v>511643.83561643836</v>
      </c>
      <c r="J31" s="9">
        <f t="shared" si="11"/>
        <v>643561.64383561641</v>
      </c>
      <c r="K31" s="9"/>
      <c r="L31" t="s">
        <v>40</v>
      </c>
      <c r="M31" s="11">
        <f>_xlfn.RRI(5,E31,J31)</f>
        <v>0.29456355722370997</v>
      </c>
      <c r="N31" s="11">
        <f>_xlfn.RRI(4,F31,J31)</f>
        <v>0.21990359802397608</v>
      </c>
      <c r="P31" s="1" t="s">
        <v>23</v>
      </c>
    </row>
    <row r="32" spans="2:16">
      <c r="B32" s="34" t="s">
        <v>22</v>
      </c>
      <c r="C32" s="11"/>
      <c r="D32" s="11">
        <f>(D31/C31-1)</f>
        <v>0.72568509698350248</v>
      </c>
      <c r="E32" s="11">
        <f t="shared" ref="E32" si="12">(E31/D31-1)</f>
        <v>0.31699999999999995</v>
      </c>
      <c r="F32" s="14">
        <f>F31/E31-1</f>
        <v>0.64177953200216709</v>
      </c>
      <c r="G32" s="14">
        <f t="shared" ref="G32:J32" si="13">G31/F31-1</f>
        <v>4.0735351658315988E-2</v>
      </c>
      <c r="H32" s="14">
        <f t="shared" si="13"/>
        <v>0.26000415808343047</v>
      </c>
      <c r="I32" s="14">
        <f t="shared" si="13"/>
        <v>0.34266403957461811</v>
      </c>
      <c r="J32" s="14">
        <f t="shared" si="13"/>
        <v>0.25783132530120478</v>
      </c>
      <c r="K32" s="14"/>
      <c r="L32"/>
      <c r="P32" s="18" t="s">
        <v>30</v>
      </c>
    </row>
    <row r="33" spans="2:16">
      <c r="B33" s="33" t="s">
        <v>21</v>
      </c>
      <c r="C33" s="11">
        <f>C30/C31</f>
        <v>0.85516178736517723</v>
      </c>
      <c r="D33" s="11">
        <f t="shared" ref="D33" si="14">D30/D31</f>
        <v>0.7363815762711865</v>
      </c>
      <c r="E33" s="11">
        <f t="shared" ref="E33" si="15">E30/E31</f>
        <v>0.72643502824858752</v>
      </c>
      <c r="F33" s="13">
        <v>0.73</v>
      </c>
      <c r="G33" s="13">
        <v>0.73</v>
      </c>
      <c r="H33" s="13">
        <v>0.73</v>
      </c>
      <c r="I33" s="13">
        <v>0.73</v>
      </c>
      <c r="J33" s="13">
        <v>0.73</v>
      </c>
      <c r="K33" s="13"/>
      <c r="L33"/>
    </row>
    <row r="34" spans="2:16">
      <c r="B34" s="35" t="s">
        <v>57</v>
      </c>
      <c r="D34" s="9">
        <f>(D30*1000)/D$18</f>
        <v>9386.0963581183605</v>
      </c>
      <c r="E34" s="9">
        <f t="shared" ref="E34:J34" si="16">(E30*1000)/E$18</f>
        <v>8760.5777747496086</v>
      </c>
      <c r="F34" s="9">
        <f t="shared" si="16"/>
        <v>12543.836203776849</v>
      </c>
      <c r="G34" s="9">
        <f t="shared" si="16"/>
        <v>11632.808549773083</v>
      </c>
      <c r="H34" s="9">
        <f t="shared" si="16"/>
        <v>13419.55502565564</v>
      </c>
      <c r="I34" s="9">
        <f t="shared" si="16"/>
        <v>16962.210362041838</v>
      </c>
      <c r="J34" s="9">
        <f t="shared" si="16"/>
        <v>20669.205320361616</v>
      </c>
      <c r="L34"/>
    </row>
    <row r="35" spans="2:16">
      <c r="B35" s="35"/>
      <c r="M35" t="s">
        <v>59</v>
      </c>
    </row>
    <row r="36" spans="2:16">
      <c r="B36" s="32" t="s">
        <v>37</v>
      </c>
      <c r="C36" s="16">
        <v>2017</v>
      </c>
      <c r="D36" s="16">
        <v>2018</v>
      </c>
      <c r="E36" s="16">
        <v>2019</v>
      </c>
      <c r="F36" s="16">
        <v>2020</v>
      </c>
      <c r="G36" s="16">
        <f>F36+1</f>
        <v>2021</v>
      </c>
      <c r="H36" s="16">
        <f t="shared" ref="H36:J36" si="17">G36+1</f>
        <v>2022</v>
      </c>
      <c r="I36" s="16">
        <f t="shared" si="17"/>
        <v>2023</v>
      </c>
      <c r="J36" s="16">
        <f t="shared" si="17"/>
        <v>2024</v>
      </c>
      <c r="K36" s="20"/>
      <c r="L36" t="s">
        <v>41</v>
      </c>
      <c r="M36" s="16">
        <v>2019</v>
      </c>
      <c r="N36" s="16">
        <v>2020</v>
      </c>
      <c r="P36" s="17" t="s">
        <v>29</v>
      </c>
    </row>
    <row r="37" spans="2:16">
      <c r="B37" s="33" t="s">
        <v>19</v>
      </c>
      <c r="C37" s="9">
        <f>74000*0.9</f>
        <v>66600</v>
      </c>
      <c r="D37" s="9">
        <v>98967</v>
      </c>
      <c r="E37" s="9">
        <v>128579</v>
      </c>
      <c r="F37" s="9">
        <f>F$2*1000</f>
        <v>212134.33332999999</v>
      </c>
      <c r="G37" s="9">
        <f>G$2*1000*0.9</f>
        <v>220775.69999699999</v>
      </c>
      <c r="H37" s="9">
        <f t="shared" ref="H37:J37" si="18">H$2*1000*0.9</f>
        <v>278178.3</v>
      </c>
      <c r="I37" s="9">
        <f t="shared" si="18"/>
        <v>373500</v>
      </c>
      <c r="J37" s="9">
        <f t="shared" si="18"/>
        <v>469800</v>
      </c>
      <c r="K37" s="9"/>
      <c r="L37" t="s">
        <v>4</v>
      </c>
      <c r="M37" s="11">
        <f>_xlfn.RRI(5,E37,J37)</f>
        <v>0.29583168156533524</v>
      </c>
      <c r="N37" s="11">
        <f>_xlfn.RRI(4,F37,J37)</f>
        <v>0.21990359802397608</v>
      </c>
      <c r="P37" s="15" t="s">
        <v>27</v>
      </c>
    </row>
    <row r="38" spans="2:16">
      <c r="B38" s="33" t="s">
        <v>20</v>
      </c>
      <c r="C38" s="9">
        <f>E38*0.44</f>
        <v>77880</v>
      </c>
      <c r="D38" s="10">
        <f>E38/1.317</f>
        <v>134396.35535307517</v>
      </c>
      <c r="E38" s="9">
        <v>177000</v>
      </c>
      <c r="F38" s="9">
        <f>F37/F40</f>
        <v>309037.7451617709</v>
      </c>
      <c r="G38" s="9">
        <f t="shared" ref="G38" si="19">G37/G40</f>
        <v>341528.05827239359</v>
      </c>
      <c r="H38" s="9">
        <f t="shared" ref="H38" si="20">H37/H40</f>
        <v>458710.80501961085</v>
      </c>
      <c r="I38" s="9">
        <f t="shared" ref="I38" si="21">I37/I40</f>
        <v>659387.18718519062</v>
      </c>
      <c r="J38" s="9">
        <f t="shared" ref="J38" si="22">J37/J40</f>
        <v>892417.81946575979</v>
      </c>
      <c r="K38" s="9"/>
      <c r="L38" t="s">
        <v>40</v>
      </c>
      <c r="M38" s="11">
        <f>_xlfn.RRI(5,E38,J38)</f>
        <v>0.38203484648667474</v>
      </c>
      <c r="N38" s="11">
        <f>_xlfn.RRI(4,F38,J38)</f>
        <v>0.30358446652348614</v>
      </c>
      <c r="P38" s="15" t="s">
        <v>28</v>
      </c>
    </row>
    <row r="39" spans="2:16">
      <c r="B39" s="34" t="s">
        <v>22</v>
      </c>
      <c r="C39" s="11"/>
      <c r="D39" s="11">
        <f>(D38/C38-1)</f>
        <v>0.72568509698350248</v>
      </c>
      <c r="E39" s="11">
        <f t="shared" ref="E39" si="23">(E38/D38-1)</f>
        <v>0.31699999999999995</v>
      </c>
      <c r="F39" s="14">
        <f>F38/E38-1</f>
        <v>0.74597596136593736</v>
      </c>
      <c r="G39" s="14">
        <f t="shared" ref="G39" si="24">G38/F38-1</f>
        <v>0.10513380200083677</v>
      </c>
      <c r="H39" s="14">
        <f t="shared" ref="H39" si="25">H38/G38-1</f>
        <v>0.34311308810169683</v>
      </c>
      <c r="I39" s="14">
        <f t="shared" ref="I39" si="26">I38/H38-1</f>
        <v>0.43747908261502677</v>
      </c>
      <c r="J39" s="14">
        <f t="shared" ref="J39" si="27">J38/I38-1</f>
        <v>0.35340485349030892</v>
      </c>
      <c r="K39" s="14"/>
      <c r="L39"/>
      <c r="P39" s="18" t="s">
        <v>30</v>
      </c>
    </row>
    <row r="40" spans="2:16">
      <c r="B40" s="33" t="s">
        <v>21</v>
      </c>
      <c r="C40" s="11">
        <f>C37/C38</f>
        <v>0.85516178736517723</v>
      </c>
      <c r="D40" s="11">
        <f t="shared" ref="D40" si="28">D37/D38</f>
        <v>0.7363815762711865</v>
      </c>
      <c r="E40" s="11">
        <f t="shared" ref="E40" si="29">E37/E38</f>
        <v>0.72643502824858752</v>
      </c>
      <c r="F40" s="13">
        <f>E40-0.04</f>
        <v>0.68643502824858749</v>
      </c>
      <c r="G40" s="13">
        <f t="shared" ref="G40:J40" si="30">F40-0.04</f>
        <v>0.64643502824858745</v>
      </c>
      <c r="H40" s="13">
        <f t="shared" si="30"/>
        <v>0.60643502824858742</v>
      </c>
      <c r="I40" s="13">
        <f t="shared" si="30"/>
        <v>0.56643502824858738</v>
      </c>
      <c r="J40" s="13">
        <f t="shared" si="30"/>
        <v>0.52643502824858734</v>
      </c>
      <c r="K40" s="13"/>
      <c r="L40"/>
    </row>
    <row r="41" spans="2:16">
      <c r="B41" s="35" t="s">
        <v>57</v>
      </c>
      <c r="D41" s="9">
        <f>(D37*1000)/D$18</f>
        <v>9386.0963581183605</v>
      </c>
      <c r="E41" s="9">
        <f t="shared" ref="E41:J41" si="31">(E37*1000)/E$18</f>
        <v>8760.5777747496086</v>
      </c>
      <c r="F41" s="9">
        <f t="shared" si="31"/>
        <v>12543.836203776849</v>
      </c>
      <c r="G41" s="9">
        <f t="shared" si="31"/>
        <v>11632.808549773083</v>
      </c>
      <c r="H41" s="9">
        <f t="shared" si="31"/>
        <v>13419.55502565564</v>
      </c>
      <c r="I41" s="9">
        <f t="shared" si="31"/>
        <v>16962.210362041838</v>
      </c>
      <c r="J41" s="9">
        <f t="shared" si="31"/>
        <v>20669.205320361616</v>
      </c>
      <c r="L41"/>
    </row>
    <row r="42" spans="2:16">
      <c r="B42" s="35"/>
      <c r="M42" t="s">
        <v>59</v>
      </c>
    </row>
    <row r="43" spans="2:16">
      <c r="B43" s="32" t="s">
        <v>39</v>
      </c>
      <c r="C43" s="16">
        <v>2017</v>
      </c>
      <c r="D43" s="16">
        <v>2018</v>
      </c>
      <c r="E43" s="16">
        <v>2019</v>
      </c>
      <c r="F43" s="16">
        <v>2020</v>
      </c>
      <c r="G43" s="16">
        <f>F43+1</f>
        <v>2021</v>
      </c>
      <c r="H43" s="16">
        <f t="shared" ref="H43:J43" si="32">G43+1</f>
        <v>2022</v>
      </c>
      <c r="I43" s="16">
        <f t="shared" si="32"/>
        <v>2023</v>
      </c>
      <c r="J43" s="16">
        <f t="shared" si="32"/>
        <v>2024</v>
      </c>
      <c r="K43" s="20"/>
      <c r="L43" t="s">
        <v>41</v>
      </c>
      <c r="M43" s="16">
        <v>2019</v>
      </c>
      <c r="N43" s="16">
        <v>2020</v>
      </c>
      <c r="P43" s="17" t="s">
        <v>29</v>
      </c>
    </row>
    <row r="44" spans="2:16">
      <c r="B44" s="33" t="s">
        <v>19</v>
      </c>
      <c r="C44" s="9">
        <f>74000*0.9</f>
        <v>66600</v>
      </c>
      <c r="D44" s="9">
        <v>98967</v>
      </c>
      <c r="E44" s="9">
        <v>128579</v>
      </c>
      <c r="F44" s="9">
        <f>F$2*1000</f>
        <v>212134.33332999999</v>
      </c>
      <c r="G44" s="9">
        <f>G45*G47</f>
        <v>200510.53424342466</v>
      </c>
      <c r="H44" s="9">
        <f t="shared" ref="H44:J44" si="33">H45*H47</f>
        <v>226664.08218821915</v>
      </c>
      <c r="I44" s="9">
        <f t="shared" si="33"/>
        <v>255258.62794119446</v>
      </c>
      <c r="J44" s="9">
        <f t="shared" si="33"/>
        <v>286224.42870783113</v>
      </c>
      <c r="K44" s="9"/>
      <c r="L44" t="s">
        <v>4</v>
      </c>
      <c r="M44" s="11">
        <f>_xlfn.RRI(5,E44,J44)</f>
        <v>0.17356549154948975</v>
      </c>
      <c r="N44" s="11">
        <f>_xlfn.RRI(4,F44,J44)</f>
        <v>7.7764646314520069E-2</v>
      </c>
      <c r="P44" s="15" t="s">
        <v>33</v>
      </c>
    </row>
    <row r="45" spans="2:16">
      <c r="B45" s="33" t="s">
        <v>20</v>
      </c>
      <c r="C45" s="9">
        <f>E45*0.44</f>
        <v>77880</v>
      </c>
      <c r="D45" s="10">
        <f>E45/1.317</f>
        <v>134396.35535307517</v>
      </c>
      <c r="E45" s="9">
        <v>177000</v>
      </c>
      <c r="F45" s="9">
        <f>F44/F47</f>
        <v>290594.97716438357</v>
      </c>
      <c r="G45" s="9">
        <f>F45*(1+G46)</f>
        <v>290594.97716438357</v>
      </c>
      <c r="H45" s="9">
        <f t="shared" ref="H45:J45" si="34">G45*(1+H46)</f>
        <v>348713.97259726026</v>
      </c>
      <c r="I45" s="9">
        <f t="shared" si="34"/>
        <v>418456.76711671229</v>
      </c>
      <c r="J45" s="9">
        <f t="shared" si="34"/>
        <v>502148.12054005475</v>
      </c>
      <c r="K45" s="9"/>
      <c r="L45" t="s">
        <v>40</v>
      </c>
      <c r="M45" s="11">
        <f>_xlfn.RRI(5,E45,J45)</f>
        <v>0.23188939080063453</v>
      </c>
      <c r="N45" s="11">
        <f>_xlfn.RRI(4,F45,J45)</f>
        <v>0.14653135064524014</v>
      </c>
      <c r="P45" s="15" t="s">
        <v>34</v>
      </c>
    </row>
    <row r="46" spans="2:16">
      <c r="B46" s="34" t="s">
        <v>22</v>
      </c>
      <c r="C46" s="11"/>
      <c r="D46" s="11">
        <f>(D45/C45-1)</f>
        <v>0.72568509698350248</v>
      </c>
      <c r="E46" s="11">
        <f t="shared" ref="E46" si="35">(E45/D45-1)</f>
        <v>0.31699999999999995</v>
      </c>
      <c r="F46" s="14">
        <f>F45/E45-1</f>
        <v>0.64177953200216709</v>
      </c>
      <c r="G46" s="13">
        <v>0</v>
      </c>
      <c r="H46" s="13">
        <v>0.2</v>
      </c>
      <c r="I46" s="13">
        <v>0.2</v>
      </c>
      <c r="J46" s="13">
        <v>0.2</v>
      </c>
      <c r="K46" s="13"/>
      <c r="L46"/>
      <c r="P46" s="18" t="s">
        <v>31</v>
      </c>
    </row>
    <row r="47" spans="2:16">
      <c r="B47" s="33" t="s">
        <v>21</v>
      </c>
      <c r="C47" s="11">
        <f>C44/C45</f>
        <v>0.85516178736517723</v>
      </c>
      <c r="D47" s="11">
        <f t="shared" ref="D47" si="36">D44/D45</f>
        <v>0.7363815762711865</v>
      </c>
      <c r="E47" s="11">
        <f t="shared" ref="E47" si="37">E44/E45</f>
        <v>0.72643502824858752</v>
      </c>
      <c r="F47" s="13">
        <v>0.73</v>
      </c>
      <c r="G47" s="21">
        <f t="shared" ref="G47:J47" si="38">F47-0.04</f>
        <v>0.69</v>
      </c>
      <c r="H47" s="21">
        <f t="shared" si="38"/>
        <v>0.64999999999999991</v>
      </c>
      <c r="I47" s="21">
        <f t="shared" si="38"/>
        <v>0.60999999999999988</v>
      </c>
      <c r="J47" s="21">
        <f t="shared" si="38"/>
        <v>0.56999999999999984</v>
      </c>
      <c r="K47" s="21"/>
      <c r="L47"/>
    </row>
    <row r="48" spans="2:16" ht="16" thickBot="1">
      <c r="B48" s="35" t="s">
        <v>57</v>
      </c>
      <c r="D48" s="9">
        <f>(D44*1000)/D$18</f>
        <v>9386.0963581183605</v>
      </c>
      <c r="E48" s="9">
        <f t="shared" ref="E48:J48" si="39">(E44*1000)/E$18</f>
        <v>8760.5777747496086</v>
      </c>
      <c r="F48" s="9">
        <f t="shared" si="39"/>
        <v>12543.836203776849</v>
      </c>
      <c r="G48" s="29">
        <f t="shared" si="39"/>
        <v>10565.024398510226</v>
      </c>
      <c r="H48" s="29">
        <f t="shared" si="39"/>
        <v>10934.465856123714</v>
      </c>
      <c r="I48" s="29">
        <f t="shared" si="39"/>
        <v>11592.370934042063</v>
      </c>
      <c r="J48" s="29">
        <f t="shared" si="39"/>
        <v>12592.659609760254</v>
      </c>
      <c r="L48"/>
    </row>
    <row r="49" spans="2:16">
      <c r="B49" s="35"/>
      <c r="F49" s="23" t="s">
        <v>32</v>
      </c>
      <c r="G49" s="1">
        <f>G44-G37</f>
        <v>-20265.165753575333</v>
      </c>
      <c r="H49" s="1">
        <f t="shared" ref="H49:J49" si="40">H44-H37</f>
        <v>-51514.217811780836</v>
      </c>
      <c r="I49" s="1">
        <f t="shared" si="40"/>
        <v>-118241.37205880554</v>
      </c>
      <c r="J49" s="1">
        <f t="shared" si="40"/>
        <v>-183575.57129216887</v>
      </c>
      <c r="L49"/>
    </row>
    <row r="50" spans="2:16">
      <c r="B50" s="35"/>
      <c r="M50" t="s">
        <v>59</v>
      </c>
    </row>
    <row r="51" spans="2:16">
      <c r="B51" s="32" t="s">
        <v>38</v>
      </c>
      <c r="C51" s="16">
        <v>2017</v>
      </c>
      <c r="D51" s="16">
        <v>2018</v>
      </c>
      <c r="E51" s="16">
        <v>2019</v>
      </c>
      <c r="F51" s="16">
        <v>2020</v>
      </c>
      <c r="G51" s="16">
        <f>F51+1</f>
        <v>2021</v>
      </c>
      <c r="H51" s="16">
        <f t="shared" ref="H51:J51" si="41">G51+1</f>
        <v>2022</v>
      </c>
      <c r="I51" s="16">
        <f t="shared" si="41"/>
        <v>2023</v>
      </c>
      <c r="J51" s="16">
        <f t="shared" si="41"/>
        <v>2024</v>
      </c>
      <c r="K51" s="20"/>
      <c r="L51" t="s">
        <v>41</v>
      </c>
      <c r="M51" s="16">
        <v>2019</v>
      </c>
      <c r="N51" s="16">
        <v>2020</v>
      </c>
      <c r="P51" s="17" t="s">
        <v>29</v>
      </c>
    </row>
    <row r="52" spans="2:16">
      <c r="B52" s="33" t="s">
        <v>19</v>
      </c>
      <c r="C52" s="9">
        <f>74000*0.9</f>
        <v>66600</v>
      </c>
      <c r="D52" s="9">
        <v>98967</v>
      </c>
      <c r="E52" s="9">
        <v>128579</v>
      </c>
      <c r="F52" s="9">
        <f>F$2*1000</f>
        <v>212134.33332999999</v>
      </c>
      <c r="G52" s="9">
        <f>G53*G55</f>
        <v>180459.48081908218</v>
      </c>
      <c r="H52" s="9">
        <f t="shared" ref="H52" si="42">H53*H55</f>
        <v>203997.67396939723</v>
      </c>
      <c r="I52" s="9">
        <f t="shared" ref="I52" si="43">I53*I55</f>
        <v>220160.56659928022</v>
      </c>
      <c r="J52" s="9">
        <f t="shared" ref="J52" si="44">J53*J55</f>
        <v>236582.37935381665</v>
      </c>
      <c r="K52" s="9"/>
      <c r="L52" t="s">
        <v>4</v>
      </c>
      <c r="M52" s="11">
        <f>_xlfn.RRI(5,E52,J52)</f>
        <v>0.12969828719080745</v>
      </c>
      <c r="N52" s="11">
        <f>_xlfn.RRI(4,F52,J52)</f>
        <v>2.7644395220683293E-2</v>
      </c>
      <c r="P52" s="15" t="s">
        <v>42</v>
      </c>
    </row>
    <row r="53" spans="2:16">
      <c r="B53" s="33" t="s">
        <v>20</v>
      </c>
      <c r="C53" s="9">
        <f>E53*0.44</f>
        <v>77880</v>
      </c>
      <c r="D53" s="10">
        <f>E53/1.317</f>
        <v>134396.35535307517</v>
      </c>
      <c r="E53" s="9">
        <v>177000</v>
      </c>
      <c r="F53" s="9">
        <f>F52/F55</f>
        <v>290594.97716438357</v>
      </c>
      <c r="G53" s="9">
        <f>F53*(1+G54)</f>
        <v>261535.47944794522</v>
      </c>
      <c r="H53" s="9">
        <f t="shared" ref="H53" si="45">G53*(1+H54)</f>
        <v>313842.57533753425</v>
      </c>
      <c r="I53" s="9">
        <f t="shared" ref="I53" si="46">H53*(1+I54)</f>
        <v>360918.96163816436</v>
      </c>
      <c r="J53" s="9">
        <f t="shared" ref="J53" si="47">I53*(1+J54)</f>
        <v>415056.80588388897</v>
      </c>
      <c r="K53" s="9"/>
      <c r="L53" t="s">
        <v>40</v>
      </c>
      <c r="M53" s="11">
        <f>_xlfn.RRI(5,E53,J53)</f>
        <v>0.18584207257027785</v>
      </c>
      <c r="N53" s="11">
        <f>_xlfn.RRI(4,F53,J53)</f>
        <v>9.3213180135752527E-2</v>
      </c>
      <c r="P53" s="15" t="s">
        <v>34</v>
      </c>
    </row>
    <row r="54" spans="2:16">
      <c r="B54" s="34" t="s">
        <v>22</v>
      </c>
      <c r="C54" s="11"/>
      <c r="D54" s="11">
        <f>(D53/C53-1)</f>
        <v>0.72568509698350248</v>
      </c>
      <c r="E54" s="11">
        <f t="shared" ref="E54" si="48">(E53/D53-1)</f>
        <v>0.31699999999999995</v>
      </c>
      <c r="F54" s="14">
        <f>F53/E53-1</f>
        <v>0.64177953200216709</v>
      </c>
      <c r="G54" s="13">
        <v>-0.1</v>
      </c>
      <c r="H54" s="13">
        <v>0.2</v>
      </c>
      <c r="I54" s="13">
        <v>0.15</v>
      </c>
      <c r="J54" s="13">
        <v>0.15</v>
      </c>
      <c r="K54" s="13"/>
      <c r="L54"/>
      <c r="P54" s="18" t="s">
        <v>31</v>
      </c>
    </row>
    <row r="55" spans="2:16">
      <c r="B55" s="33" t="s">
        <v>21</v>
      </c>
      <c r="C55" s="11">
        <f>C52/C53</f>
        <v>0.85516178736517723</v>
      </c>
      <c r="D55" s="11">
        <f t="shared" ref="D55" si="49">D52/D53</f>
        <v>0.7363815762711865</v>
      </c>
      <c r="E55" s="11">
        <f t="shared" ref="E55" si="50">E52/E53</f>
        <v>0.72643502824858752</v>
      </c>
      <c r="F55" s="13">
        <v>0.73</v>
      </c>
      <c r="G55" s="21">
        <f t="shared" ref="G55:J55" si="51">F55-0.04</f>
        <v>0.69</v>
      </c>
      <c r="H55" s="21">
        <f t="shared" si="51"/>
        <v>0.64999999999999991</v>
      </c>
      <c r="I55" s="21">
        <f t="shared" si="51"/>
        <v>0.60999999999999988</v>
      </c>
      <c r="J55" s="21">
        <f t="shared" si="51"/>
        <v>0.56999999999999984</v>
      </c>
      <c r="K55" s="21"/>
      <c r="L55"/>
    </row>
    <row r="56" spans="2:16" ht="16" thickBot="1">
      <c r="B56" s="35" t="s">
        <v>57</v>
      </c>
      <c r="D56" s="9">
        <f>(D52*1000)/D$18</f>
        <v>9386.0963581183605</v>
      </c>
      <c r="E56" s="9">
        <f t="shared" ref="E56:J56" si="52">(E52*1000)/E$18</f>
        <v>8760.5777747496086</v>
      </c>
      <c r="F56" s="9">
        <f>(F52*1000)/F$18</f>
        <v>12543.836203776849</v>
      </c>
      <c r="G56" s="29">
        <f t="shared" si="52"/>
        <v>9508.5219586592029</v>
      </c>
      <c r="H56" s="29">
        <f t="shared" si="52"/>
        <v>9841.0192705113423</v>
      </c>
      <c r="I56" s="29">
        <f t="shared" si="52"/>
        <v>9998.4199306112805</v>
      </c>
      <c r="J56" s="29">
        <f t="shared" si="52"/>
        <v>10408.620208692459</v>
      </c>
      <c r="L56"/>
    </row>
    <row r="57" spans="2:16">
      <c r="B57" s="1"/>
      <c r="F57" s="23" t="s">
        <v>32</v>
      </c>
      <c r="G57" s="1">
        <f>G52-G37</f>
        <v>-40316.21917791781</v>
      </c>
      <c r="H57" s="1">
        <f t="shared" ref="H57:J57" si="53">H52-H37</f>
        <v>-74180.626030602754</v>
      </c>
      <c r="I57" s="1">
        <f t="shared" si="53"/>
        <v>-153339.43340071978</v>
      </c>
      <c r="J57" s="1">
        <f t="shared" si="53"/>
        <v>-233217.62064618335</v>
      </c>
      <c r="L57"/>
    </row>
    <row r="58" spans="2:16">
      <c r="B58" s="1"/>
      <c r="L58"/>
    </row>
    <row r="59" spans="2:16">
      <c r="B59" s="1" t="s">
        <v>62</v>
      </c>
      <c r="C59" s="1">
        <v>26.36</v>
      </c>
      <c r="L59"/>
    </row>
    <row r="60" spans="2:16">
      <c r="B60" s="1" t="s">
        <v>63</v>
      </c>
      <c r="C60" s="1">
        <f>D66*1000</f>
        <v>976710000</v>
      </c>
    </row>
    <row r="61" spans="2:16">
      <c r="B61" s="1" t="s">
        <v>64</v>
      </c>
      <c r="C61" s="1">
        <f>C60/C59</f>
        <v>37052731.411229134</v>
      </c>
      <c r="L61"/>
    </row>
    <row r="62" spans="2:16">
      <c r="B62" s="1" t="s">
        <v>65</v>
      </c>
      <c r="C62" s="1">
        <f>C61/1000</f>
        <v>37052.731411229135</v>
      </c>
      <c r="L62"/>
    </row>
    <row r="63" spans="2:16">
      <c r="B63" s="1"/>
      <c r="K63"/>
      <c r="L63"/>
    </row>
    <row r="64" spans="2:16">
      <c r="B64" s="1"/>
      <c r="K64"/>
      <c r="L64"/>
    </row>
    <row r="65" spans="2:12">
      <c r="C65"/>
      <c r="D65" s="1" t="s">
        <v>70</v>
      </c>
      <c r="L65"/>
    </row>
    <row r="66" spans="2:12">
      <c r="C66"/>
      <c r="D66" s="9">
        <f>1000*976.71</f>
        <v>976710</v>
      </c>
      <c r="E66" s="24" t="s">
        <v>12</v>
      </c>
      <c r="F66" s="24" t="s">
        <v>45</v>
      </c>
      <c r="G66" s="24" t="s">
        <v>46</v>
      </c>
      <c r="H66" s="24" t="s">
        <v>47</v>
      </c>
      <c r="I66" s="24" t="s">
        <v>48</v>
      </c>
      <c r="L66"/>
    </row>
    <row r="67" spans="2:12">
      <c r="C67"/>
      <c r="D67" s="25" t="s">
        <v>49</v>
      </c>
      <c r="E67" s="13">
        <v>0.08</v>
      </c>
      <c r="F67" s="1">
        <f>$D$66/($E67*G37)</f>
        <v>55.299903930395871</v>
      </c>
      <c r="G67" s="1">
        <f>$D$66/($E67*H37)</f>
        <v>43.888667807661491</v>
      </c>
      <c r="H67" s="1">
        <f>$D$66/($E67*I37)</f>
        <v>32.687751004016064</v>
      </c>
      <c r="I67" s="1">
        <f>$D$66/($E67*J37)</f>
        <v>25.987388250319285</v>
      </c>
      <c r="L67"/>
    </row>
    <row r="68" spans="2:12">
      <c r="C68"/>
      <c r="D68" s="25" t="s">
        <v>43</v>
      </c>
      <c r="E68" s="13">
        <v>0.08</v>
      </c>
      <c r="F68" s="1">
        <f>$D$66/($E68*G44)</f>
        <v>60.888945541275802</v>
      </c>
      <c r="G68" s="1">
        <f>$D$66/($E68*H44)</f>
        <v>53.863297978820903</v>
      </c>
      <c r="H68" s="1">
        <f>$D$66/($E68*I44)</f>
        <v>47.829431265346436</v>
      </c>
      <c r="I68" s="1">
        <f>$D$66/($E68*J44)</f>
        <v>42.654902151844048</v>
      </c>
      <c r="L68"/>
    </row>
    <row r="69" spans="2:12">
      <c r="B69" s="1"/>
      <c r="D69" s="25" t="s">
        <v>44</v>
      </c>
      <c r="E69" s="13">
        <v>0.08</v>
      </c>
      <c r="F69" s="1">
        <f>$D$66/($E69*G52)</f>
        <v>67.654383934750896</v>
      </c>
      <c r="G69" s="1">
        <f>$D$66/($E69*H52)</f>
        <v>59.848108865356558</v>
      </c>
      <c r="H69" s="1">
        <f>$D$66/($E69*I52)</f>
        <v>55.454413061271232</v>
      </c>
      <c r="I69" s="1">
        <f>$D$66/($E69*J52)</f>
        <v>51.605174626049511</v>
      </c>
      <c r="L69"/>
    </row>
    <row r="70" spans="2:12">
      <c r="C70"/>
      <c r="E70" s="13"/>
      <c r="L70"/>
    </row>
    <row r="71" spans="2:12">
      <c r="C71"/>
      <c r="E71" s="13"/>
      <c r="L71"/>
    </row>
    <row r="72" spans="2:12">
      <c r="C72"/>
      <c r="L72"/>
    </row>
    <row r="73" spans="2:12">
      <c r="C73"/>
      <c r="D73" s="16">
        <v>2021</v>
      </c>
      <c r="E73" s="27" t="s">
        <v>50</v>
      </c>
      <c r="F73" s="24" t="s">
        <v>51</v>
      </c>
      <c r="G73" s="24" t="s">
        <v>52</v>
      </c>
      <c r="H73" s="24" t="s">
        <v>54</v>
      </c>
    </row>
    <row r="74" spans="2:12">
      <c r="C74"/>
      <c r="D74" s="25" t="s">
        <v>49</v>
      </c>
      <c r="E74" s="13">
        <v>0.08</v>
      </c>
      <c r="F74" s="26">
        <v>30</v>
      </c>
      <c r="G74" s="22">
        <f>((((1/(F67/$D$66))/E67)*E74)*F74)/$C$62</f>
        <v>14.300205674775734</v>
      </c>
      <c r="H74" s="11">
        <f>G74/$C$59-1</f>
        <v>-0.45750357834689925</v>
      </c>
    </row>
    <row r="75" spans="2:12">
      <c r="C75"/>
      <c r="D75" s="25" t="s">
        <v>43</v>
      </c>
      <c r="E75" s="13">
        <v>0.08</v>
      </c>
      <c r="F75" s="26">
        <v>30</v>
      </c>
      <c r="G75" s="22">
        <f>((((1/(F68/$D$66))/E68)*E75)*F75)/$C$62</f>
        <v>12.987579156941175</v>
      </c>
      <c r="H75" s="11">
        <f>G75/$C$59-1</f>
        <v>-0.50729972849236815</v>
      </c>
    </row>
    <row r="76" spans="2:12">
      <c r="C76"/>
      <c r="D76" s="25" t="s">
        <v>44</v>
      </c>
      <c r="E76" s="13">
        <v>0.08</v>
      </c>
      <c r="F76" s="26">
        <v>30</v>
      </c>
      <c r="G76" s="22">
        <f>((((1/(F69/$D$66))/E69)*E76)*F76)/$C$62</f>
        <v>11.688821241247059</v>
      </c>
      <c r="H76" s="11">
        <f>G76/$C$59-1</f>
        <v>-0.55656975564313127</v>
      </c>
    </row>
    <row r="77" spans="2:12">
      <c r="C77"/>
      <c r="D77" s="16">
        <v>2022</v>
      </c>
      <c r="E77" s="27" t="s">
        <v>50</v>
      </c>
      <c r="F77" s="24" t="s">
        <v>53</v>
      </c>
      <c r="G77" s="24" t="s">
        <v>52</v>
      </c>
      <c r="H77" s="24" t="s">
        <v>54</v>
      </c>
      <c r="L77"/>
    </row>
    <row r="78" spans="2:12">
      <c r="C78"/>
      <c r="D78" s="25" t="s">
        <v>49</v>
      </c>
      <c r="E78" s="28">
        <v>0.08</v>
      </c>
      <c r="F78" s="26">
        <v>30</v>
      </c>
      <c r="G78" s="22">
        <f>((((1/(F67/$D$66))/E67)*E78)*F78)/$C$62</f>
        <v>14.300205674775734</v>
      </c>
      <c r="H78" s="11">
        <f>G78/$C$59-1</f>
        <v>-0.45750357834689925</v>
      </c>
    </row>
    <row r="79" spans="2:12">
      <c r="C79"/>
      <c r="D79" s="25" t="s">
        <v>43</v>
      </c>
      <c r="E79" s="28">
        <v>0.08</v>
      </c>
      <c r="F79" s="26">
        <v>30</v>
      </c>
      <c r="G79" s="22">
        <f>((((1/(F68/$D$66))/E68)*E79)*F79)/$C$62</f>
        <v>12.987579156941175</v>
      </c>
      <c r="H79" s="11">
        <f>G79/$C$59-1</f>
        <v>-0.50729972849236815</v>
      </c>
    </row>
    <row r="80" spans="2:12">
      <c r="C80"/>
      <c r="D80" s="25" t="s">
        <v>44</v>
      </c>
      <c r="E80" s="28">
        <v>0.08</v>
      </c>
      <c r="F80" s="26">
        <v>30</v>
      </c>
      <c r="G80" s="22">
        <f>((((1/(F69/$D$66))/E69)*E80)*F80)/$C$62</f>
        <v>11.688821241247059</v>
      </c>
      <c r="H80" s="11">
        <f>G80/$C$59-1</f>
        <v>-0.55656975564313127</v>
      </c>
    </row>
    <row r="81" spans="12:12">
      <c r="L81"/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2020-12-18T00:33:45Z</dcterms:created>
  <dcterms:modified xsi:type="dcterms:W3CDTF">2020-12-21T15:52:44Z</dcterms:modified>
</cp:coreProperties>
</file>