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13560" yWindow="0" windowWidth="39040" windowHeight="26260" tabRatio="500"/>
  </bookViews>
  <sheets>
    <sheet name="BOM" sheetId="1" r:id="rId1"/>
  </sheets>
  <definedNames>
    <definedName name="_xlnm.Print_Area" localSheetId="0">BOM!$A$1:$I$48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3" i="1" l="1"/>
  <c r="E13" i="1"/>
  <c r="D23" i="1"/>
  <c r="D48" i="1"/>
  <c r="D47" i="1"/>
  <c r="I30" i="1"/>
  <c r="F30" i="1"/>
  <c r="E30" i="1"/>
  <c r="C30" i="1"/>
  <c r="C39" i="1"/>
  <c r="D39" i="1"/>
  <c r="D44" i="1"/>
  <c r="D43" i="1"/>
  <c r="D36" i="1"/>
  <c r="C36" i="1"/>
  <c r="E29" i="1"/>
  <c r="C29" i="1"/>
  <c r="D29" i="1"/>
  <c r="G29" i="1"/>
  <c r="E21" i="1"/>
  <c r="D21" i="1"/>
  <c r="D20" i="1"/>
  <c r="E20" i="1"/>
  <c r="C21" i="1"/>
  <c r="F21" i="1"/>
  <c r="G21" i="1"/>
  <c r="D38" i="1"/>
  <c r="I36" i="1"/>
  <c r="F36" i="1"/>
  <c r="D35" i="1"/>
  <c r="C27" i="1"/>
  <c r="C28" i="1"/>
  <c r="D28" i="1"/>
  <c r="D27" i="1"/>
  <c r="D26" i="1"/>
  <c r="C26" i="1"/>
  <c r="G28" i="1"/>
  <c r="G27" i="1"/>
  <c r="G26" i="1"/>
  <c r="C17" i="1"/>
  <c r="D24" i="1"/>
  <c r="C24" i="1"/>
  <c r="C23" i="1"/>
  <c r="F22" i="1"/>
  <c r="G22" i="1"/>
  <c r="C18" i="1"/>
  <c r="D18" i="1"/>
  <c r="D17" i="1"/>
  <c r="I13" i="1"/>
  <c r="C13" i="1"/>
  <c r="I9" i="1"/>
  <c r="F9" i="1"/>
  <c r="C9" i="1"/>
  <c r="F45" i="1"/>
  <c r="F43" i="1"/>
  <c r="F17" i="1"/>
  <c r="F14" i="1"/>
  <c r="G13" i="1"/>
  <c r="G12" i="1"/>
  <c r="G25" i="1"/>
  <c r="F23" i="1"/>
  <c r="G23" i="1"/>
  <c r="F19" i="1"/>
  <c r="G19" i="1"/>
  <c r="F18" i="1"/>
  <c r="G18" i="1"/>
  <c r="G17" i="1"/>
  <c r="G16" i="1"/>
  <c r="G14" i="1"/>
  <c r="F20" i="1"/>
  <c r="G20" i="1"/>
  <c r="G11" i="1"/>
  <c r="G15" i="1"/>
  <c r="G10" i="1"/>
  <c r="G30" i="1"/>
  <c r="G24" i="1"/>
  <c r="G45" i="1"/>
  <c r="F44" i="1"/>
  <c r="G44" i="1"/>
  <c r="G9" i="1"/>
  <c r="G43" i="1"/>
  <c r="G34" i="1"/>
  <c r="G33" i="1"/>
  <c r="F39" i="1"/>
  <c r="G39" i="1"/>
  <c r="G38" i="1"/>
  <c r="F37" i="1"/>
  <c r="G37" i="1"/>
  <c r="G36" i="1"/>
  <c r="G42" i="1"/>
  <c r="G35" i="1"/>
  <c r="G46" i="1"/>
</calcChain>
</file>

<file path=xl/sharedStrings.xml><?xml version="1.0" encoding="utf-8"?>
<sst xmlns="http://schemas.openxmlformats.org/spreadsheetml/2006/main" count="126" uniqueCount="90">
  <si>
    <t>Description</t>
  </si>
  <si>
    <t>Quantity</t>
  </si>
  <si>
    <t>Unit Price</t>
  </si>
  <si>
    <t>Total Price</t>
  </si>
  <si>
    <t>Amazon</t>
  </si>
  <si>
    <t>Op amp – TLV2462</t>
  </si>
  <si>
    <t>Total</t>
  </si>
  <si>
    <t>StarTech PC Mounting Computer Screws M3 x 1/4-Inches Long Standoff - 50 Pack SCREWM3</t>
  </si>
  <si>
    <t>Enclosure</t>
  </si>
  <si>
    <t>1kΩ resistor - 1/4W</t>
  </si>
  <si>
    <t>Notes</t>
  </si>
  <si>
    <t>Voltmeter - divider</t>
  </si>
  <si>
    <t>Ammeter - op amp circuit</t>
  </si>
  <si>
    <t>Binding posts</t>
  </si>
  <si>
    <t>Digi-Key</t>
  </si>
  <si>
    <t>0.005Ω shunt resistor</t>
  </si>
  <si>
    <t>Arduino Uno clone</t>
  </si>
  <si>
    <t>1 per standoff</t>
  </si>
  <si>
    <t>75kΩ resistor - 1/4W</t>
  </si>
  <si>
    <t>ADC - MCP3202</t>
  </si>
  <si>
    <t>Voltmeter and ammeter op amp circuits, relay input</t>
  </si>
  <si>
    <t>22kΩ resistor - 1/4W</t>
  </si>
  <si>
    <t>Arduino output pull-ups</t>
  </si>
  <si>
    <t>Donation to arduino.cc</t>
  </si>
  <si>
    <t>arduino.cc</t>
  </si>
  <si>
    <t>MC-4 connector (male/female pair)</t>
  </si>
  <si>
    <t>Bleed resistor. Needs to be able to handle 6.4J pulse energy (for 80V Voc; less for lower Voc: 0.5 * 0.002F * Voc^2). Digi-Key PN:PPC5W47.0CT-ND</t>
  </si>
  <si>
    <t>Digi-Key PN: 501-1713-ND</t>
  </si>
  <si>
    <t>Digi-Key PN: MCP3202-BI/P-ND</t>
  </si>
  <si>
    <t>Ammeter.  Digi-Key PN: 296-1892-5-ND</t>
  </si>
  <si>
    <t>uxcell 60 Pcs 8 Pin 2.54mm Pitch DIP IC Sockets Adaptor</t>
  </si>
  <si>
    <t>8-pin DIP socket (optional)</t>
  </si>
  <si>
    <t>Ammeter.  Digi-Key PN: LVRB-.005RCT-ND</t>
  </si>
  <si>
    <t>Cable ring connectors</t>
  </si>
  <si>
    <t>0.1µF capacitor</t>
  </si>
  <si>
    <t>Op amp and ADC Vdd filter. Digi-Key PN: BC2665CT-ND</t>
  </si>
  <si>
    <t>8mm Body Long M3 Male Female Brass Pillar Standoff Spacer 100Pcs</t>
  </si>
  <si>
    <t>Came with nuts - otherwise also need 10 M3 nuts</t>
  </si>
  <si>
    <t>2.2nF (2200 pF) capacitor</t>
  </si>
  <si>
    <t>Ultra Pro Baseball Clear Square Holder</t>
  </si>
  <si>
    <t>Binding post internal connections. Digi-Key PN: 277-11154-ND</t>
  </si>
  <si>
    <t>Sun YOBA 5 Pairs of MC4 Male/ Female Solar Panel Cable Connectors</t>
  </si>
  <si>
    <t>Elegoo UNO R3 Board ATmega328P ATMEGA16U2 with USB Cable Compatible With Arduino UNO R3</t>
  </si>
  <si>
    <t>Name(s) on PCB</t>
  </si>
  <si>
    <t>On-PCB parts</t>
  </si>
  <si>
    <t>Off-PCB parts</t>
  </si>
  <si>
    <t>10-pin stackable female header</t>
  </si>
  <si>
    <t>A1</t>
  </si>
  <si>
    <t>8-pin stackable female header</t>
  </si>
  <si>
    <t>A2, A3</t>
  </si>
  <si>
    <t>6-pin stackable female header</t>
  </si>
  <si>
    <t>A4</t>
  </si>
  <si>
    <t>C1, C2</t>
  </si>
  <si>
    <t>C3, C6</t>
  </si>
  <si>
    <t>C4, C5</t>
  </si>
  <si>
    <t>FH</t>
  </si>
  <si>
    <t>4-pin female header</t>
  </si>
  <si>
    <t>MCP3202</t>
  </si>
  <si>
    <t>MCP3202, TLV2462</t>
  </si>
  <si>
    <t>TLV2462</t>
  </si>
  <si>
    <t>R1</t>
  </si>
  <si>
    <t>R2</t>
  </si>
  <si>
    <t>R3, R4, RG</t>
  </si>
  <si>
    <t>RF</t>
  </si>
  <si>
    <t>RB</t>
  </si>
  <si>
    <t>SHUNT</t>
  </si>
  <si>
    <t>18ga solid wire or zip cord</t>
  </si>
  <si>
    <t>Purchase From</t>
  </si>
  <si>
    <t>Purchased as a kit of all four. Note, however, that A4 is not needed at all, and A1 can be 8-pin instead of 10-pin (pins 9 and 10 are not used).  Digi-Key PN: 1568-1413-ND</t>
  </si>
  <si>
    <t>Extra +5V and GND for temperature and irradiance sensors. Can be omitted if no plans for those (or can be added later). Digi-Key PN: S7037-ND</t>
  </si>
  <si>
    <t>Voltmeter and ammeter op amp circuits. Digi-Key PN: 399-4166-ND</t>
  </si>
  <si>
    <t>For load circuit wires: MC-4 to binding posts, PV+ binding post to relay, PV- binding post to PCB, relay to PCB. Scrap appliance cord is fine. Just want a heavier duty than hookup wire.</t>
  </si>
  <si>
    <t>Relay to stack connector wires. GenBasic 80 Piece Male to Female Solderless Ribbon Dupont Jumper Wires (4 and 8 Inch) for Breadboard Prototyping</t>
  </si>
  <si>
    <t>Bill of Materials for PCB-based IV Swinger 2</t>
  </si>
  <si>
    <t>PV module</t>
  </si>
  <si>
    <t>PV cell</t>
  </si>
  <si>
    <t>EMR</t>
  </si>
  <si>
    <t>SSR</t>
  </si>
  <si>
    <t>PV type</t>
  </si>
  <si>
    <t>Relay Type</t>
  </si>
  <si>
    <t>RF1</t>
  </si>
  <si>
    <t>JP</t>
  </si>
  <si>
    <t>Low current jumper header. Digi-Key PN: 732-5315-ND</t>
  </si>
  <si>
    <t>Low current jumper. Digi-Key PN: S9337-ND</t>
  </si>
  <si>
    <t>OFF=LO_CUR</t>
  </si>
  <si>
    <t>Alternate to jumper. Digi-Key PN: 732-3831-5-ND</t>
  </si>
  <si>
    <t>SSR pull up/downs</t>
  </si>
  <si>
    <t>Solid State Relays (SSRs). Digi-Key ON: CLA315-ND</t>
  </si>
  <si>
    <t xml:space="preserve">Amazon wish list: </t>
  </si>
  <si>
    <t>Digi-Key cart: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</si>
</sst>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Red]\-&quot;$&quot;#,##0.00"/>
    <numFmt numFmtId="165" formatCode="&quot;$&quot;#,##0.00"/>
    <numFmt numFmtId="166" formatCode="00000"/>
  </numFmts>
  <fonts count="15" x14ac:knownFonts="1">
    <font>
      <sz val="12"/>
      <color theme="1"/>
      <name val="Calibri"/>
      <family val="2"/>
      <scheme val="minor"/>
    </font>
    <font>
      <sz val="12"/>
      <color rgb="FF0061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Liberation Sans"/>
    </font>
    <font>
      <b/>
      <sz val="10"/>
      <color theme="1"/>
      <name val="Liberation Sans"/>
    </font>
    <font>
      <sz val="10"/>
      <color rgb="FF000000"/>
      <name val="Liberation Sans"/>
    </font>
    <font>
      <sz val="8"/>
      <name val="Calibri"/>
      <family val="2"/>
      <scheme val="minor"/>
    </font>
    <font>
      <sz val="24"/>
      <color theme="1"/>
      <name val="Calibri"/>
      <scheme val="minor"/>
    </font>
    <font>
      <sz val="24"/>
      <color rgb="FFFF0000"/>
      <name val="Calibri"/>
      <scheme val="minor"/>
    </font>
    <font>
      <u/>
      <sz val="12"/>
      <color theme="1"/>
      <name val="Calibri"/>
      <scheme val="minor"/>
    </font>
    <font>
      <sz val="12"/>
      <color rgb="FF000000"/>
      <name val="Calibri"/>
      <scheme val="minor"/>
    </font>
    <font>
      <sz val="18"/>
      <color theme="1"/>
      <name val="Calibri"/>
      <family val="2"/>
      <scheme val="minor"/>
    </font>
    <font>
      <u/>
      <sz val="18"/>
      <color theme="10"/>
      <name val="Calibri"/>
      <scheme val="minor"/>
    </font>
  </fonts>
  <fills count="3">
    <fill>
      <patternFill patternType="none"/>
    </fill>
    <fill>
      <patternFill patternType="gray125"/>
    </fill>
    <fill>
      <patternFill patternType="solid">
        <fgColor rgb="FFC6EFCE"/>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41">
    <xf numFmtId="0" fontId="0" fillId="0" borderId="0"/>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0" fontId="0" fillId="0" borderId="1" xfId="0" applyBorder="1"/>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5" fillId="0" borderId="1" xfId="0" applyFont="1" applyBorder="1" applyAlignment="1">
      <alignment horizontal="left" vertical="center" wrapText="1"/>
    </xf>
    <xf numFmtId="0" fontId="5" fillId="0" borderId="1" xfId="0" applyFont="1" applyBorder="1" applyAlignment="1">
      <alignment horizontal="right" vertical="center" wrapText="1"/>
    </xf>
    <xf numFmtId="164" fontId="5" fillId="0" borderId="1" xfId="0" applyNumberFormat="1" applyFont="1" applyBorder="1" applyAlignment="1">
      <alignment horizontal="right" vertical="center" wrapText="1"/>
    </xf>
    <xf numFmtId="0" fontId="6" fillId="0" borderId="0" xfId="0" applyFont="1" applyBorder="1" applyAlignment="1">
      <alignment horizontal="left" vertical="center" wrapText="1"/>
    </xf>
    <xf numFmtId="0" fontId="6" fillId="0" borderId="0" xfId="0" applyFont="1" applyBorder="1" applyAlignment="1">
      <alignment horizontal="right" vertical="center" wrapText="1"/>
    </xf>
    <xf numFmtId="0" fontId="0" fillId="0" borderId="0" xfId="0" applyBorder="1"/>
    <xf numFmtId="0" fontId="5" fillId="0" borderId="0" xfId="0" applyFont="1" applyBorder="1" applyAlignment="1">
      <alignment horizontal="left" vertical="center" wrapText="1"/>
    </xf>
    <xf numFmtId="0" fontId="5" fillId="0" borderId="0" xfId="0" applyFont="1" applyBorder="1" applyAlignment="1">
      <alignment horizontal="right" vertical="center" wrapText="1"/>
    </xf>
    <xf numFmtId="164" fontId="5" fillId="0" borderId="0" xfId="0" applyNumberFormat="1" applyFont="1" applyBorder="1" applyAlignment="1">
      <alignment horizontal="right" vertical="center" wrapText="1"/>
    </xf>
    <xf numFmtId="0" fontId="0" fillId="0" borderId="0" xfId="0" applyBorder="1" applyAlignment="1">
      <alignment wrapText="1"/>
    </xf>
    <xf numFmtId="0" fontId="7" fillId="0" borderId="0" xfId="0" applyFont="1" applyBorder="1" applyAlignment="1">
      <alignment horizontal="right" vertical="center" wrapText="1"/>
    </xf>
    <xf numFmtId="0" fontId="0" fillId="0" borderId="0" xfId="0" applyBorder="1" applyAlignment="1">
      <alignment horizontal="right"/>
    </xf>
    <xf numFmtId="0" fontId="2" fillId="0" borderId="0" xfId="0" applyFont="1" applyBorder="1" applyAlignment="1">
      <alignment horizontal="right"/>
    </xf>
    <xf numFmtId="165" fontId="5" fillId="0" borderId="1" xfId="0" applyNumberFormat="1" applyFont="1" applyBorder="1" applyAlignment="1">
      <alignment horizontal="right" vertical="center" wrapText="1"/>
    </xf>
    <xf numFmtId="165" fontId="0" fillId="0" borderId="1" xfId="0" applyNumberFormat="1" applyBorder="1" applyAlignment="1">
      <alignment vertical="center"/>
    </xf>
    <xf numFmtId="0" fontId="5" fillId="0" borderId="2" xfId="0" applyFont="1" applyBorder="1" applyAlignment="1">
      <alignment horizontal="left" vertical="center" wrapText="1"/>
    </xf>
    <xf numFmtId="0" fontId="9" fillId="0" borderId="0" xfId="0" applyFont="1" applyBorder="1" applyAlignment="1">
      <alignment horizontal="center"/>
    </xf>
    <xf numFmtId="0" fontId="0" fillId="0" borderId="0" xfId="0" applyBorder="1" applyAlignment="1">
      <alignment horizontal="center"/>
    </xf>
    <xf numFmtId="0" fontId="0" fillId="0" borderId="0" xfId="0" applyFill="1" applyBorder="1"/>
    <xf numFmtId="0" fontId="11" fillId="0" borderId="0" xfId="0" applyFont="1" applyBorder="1" applyAlignment="1">
      <alignment horizontal="center"/>
    </xf>
    <xf numFmtId="0" fontId="11" fillId="0" borderId="0" xfId="0" applyFont="1" applyBorder="1" applyAlignment="1">
      <alignment horizontal="center" wrapText="1"/>
    </xf>
    <xf numFmtId="0" fontId="10" fillId="0" borderId="0" xfId="0" applyFont="1" applyBorder="1" applyAlignment="1">
      <alignment horizontal="center"/>
    </xf>
    <xf numFmtId="165" fontId="5" fillId="0" borderId="2" xfId="0" applyNumberFormat="1" applyFont="1" applyBorder="1" applyAlignment="1">
      <alignment horizontal="left" vertical="center" wrapText="1"/>
    </xf>
    <xf numFmtId="165" fontId="5" fillId="0" borderId="2" xfId="0" applyNumberFormat="1" applyFont="1" applyBorder="1" applyAlignment="1">
      <alignment horizontal="right" vertical="center" wrapText="1"/>
    </xf>
    <xf numFmtId="0" fontId="5" fillId="0" borderId="2" xfId="0" applyNumberFormat="1" applyFont="1" applyBorder="1" applyAlignment="1">
      <alignment horizontal="right" vertical="center" wrapText="1"/>
    </xf>
    <xf numFmtId="0" fontId="5" fillId="0" borderId="2" xfId="0" applyFont="1" applyBorder="1" applyAlignment="1">
      <alignment horizontal="right" vertical="center" wrapText="1"/>
    </xf>
    <xf numFmtId="0" fontId="13" fillId="0" borderId="0" xfId="0" applyFont="1" applyBorder="1" applyAlignment="1">
      <alignment horizontal="right"/>
    </xf>
    <xf numFmtId="0" fontId="13" fillId="0" borderId="0" xfId="0" applyFont="1" applyBorder="1" applyAlignment="1">
      <alignment horizontal="right" vertical="center" wrapText="1"/>
    </xf>
    <xf numFmtId="0" fontId="14" fillId="0" borderId="0" xfId="440" applyFont="1" applyBorder="1"/>
    <xf numFmtId="166" fontId="14" fillId="0" borderId="0" xfId="440" applyNumberFormat="1" applyFont="1" applyBorder="1"/>
    <xf numFmtId="0" fontId="0" fillId="0" borderId="1" xfId="0" applyBorder="1" applyAlignment="1">
      <alignment vertical="center" wrapText="1"/>
    </xf>
    <xf numFmtId="0" fontId="12" fillId="0" borderId="1" xfId="0" applyFont="1" applyBorder="1" applyAlignment="1">
      <alignment vertical="center"/>
    </xf>
    <xf numFmtId="0" fontId="9" fillId="0" borderId="0" xfId="0" applyFont="1" applyBorder="1" applyAlignment="1">
      <alignment horizontal="center"/>
    </xf>
    <xf numFmtId="0" fontId="0" fillId="0" borderId="0" xfId="0" applyBorder="1" applyAlignment="1">
      <alignment horizontal="center"/>
    </xf>
    <xf numFmtId="0" fontId="1" fillId="2" borderId="1" xfId="1" applyBorder="1" applyAlignment="1">
      <alignment horizontal="center" vertical="center" wrapText="1"/>
    </xf>
    <xf numFmtId="0" fontId="1" fillId="2" borderId="1" xfId="1" applyBorder="1" applyAlignment="1">
      <alignment horizontal="center"/>
    </xf>
    <xf numFmtId="0" fontId="5" fillId="0" borderId="1" xfId="0" applyFont="1" applyBorder="1" applyAlignment="1">
      <alignment horizontal="center" vertical="center" wrapText="1"/>
    </xf>
    <xf numFmtId="164" fontId="5" fillId="0" borderId="3" xfId="0" applyNumberFormat="1" applyFont="1" applyBorder="1" applyAlignment="1">
      <alignment horizontal="right" vertical="center" wrapText="1"/>
    </xf>
    <xf numFmtId="164" fontId="5" fillId="0" borderId="4" xfId="0" applyNumberFormat="1" applyFont="1" applyBorder="1" applyAlignment="1">
      <alignment horizontal="right" vertical="center" wrapText="1"/>
    </xf>
    <xf numFmtId="164" fontId="5" fillId="0" borderId="5" xfId="0" applyNumberFormat="1" applyFont="1" applyBorder="1" applyAlignment="1">
      <alignment horizontal="righ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cellXfs>
  <cellStyles count="44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cellStyle name="Normal" xfId="0" builtinId="0"/>
  </cellStyles>
  <dxfs count="11">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
      <font>
        <color rgb="FF9C0006"/>
      </font>
      <fill>
        <patternFill patternType="solid">
          <fgColor indexed="64"/>
          <bgColor theme="0" tint="-0.24997711111789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105"/>
  <sheetViews>
    <sheetView tabSelected="1" zoomScale="150" zoomScaleNormal="150" zoomScalePageLayoutView="150" workbookViewId="0">
      <selection activeCell="A2" sqref="A2"/>
    </sheetView>
  </sheetViews>
  <sheetFormatPr baseColWidth="10" defaultRowHeight="15" x14ac:dyDescent="0"/>
  <cols>
    <col min="1" max="1" width="1.5" style="9" customWidth="1"/>
    <col min="2" max="2" width="3.5" style="9" customWidth="1"/>
    <col min="3" max="3" width="40.6640625" style="9" customWidth="1"/>
    <col min="4" max="4" width="8.5" style="9" customWidth="1"/>
    <col min="5" max="5" width="16.83203125" style="9" customWidth="1"/>
    <col min="6" max="6" width="9" style="9" customWidth="1"/>
    <col min="7" max="7" width="11" style="9" customWidth="1"/>
    <col min="8" max="8" width="13.1640625" style="9" customWidth="1"/>
    <col min="9" max="9" width="49.6640625" style="9" customWidth="1"/>
    <col min="10" max="10" width="14" style="9" hidden="1" customWidth="1"/>
    <col min="11" max="13" width="0" style="9" hidden="1" customWidth="1"/>
    <col min="14" max="16384" width="10.83203125" style="9"/>
  </cols>
  <sheetData>
    <row r="1" spans="1:13" ht="27" customHeight="1">
      <c r="A1" s="36" t="s">
        <v>73</v>
      </c>
      <c r="B1" s="37"/>
      <c r="C1" s="37"/>
      <c r="D1" s="37"/>
      <c r="E1" s="37"/>
      <c r="F1" s="37"/>
      <c r="G1" s="37"/>
      <c r="H1" s="37"/>
      <c r="I1" s="37"/>
      <c r="M1" s="22"/>
    </row>
    <row r="2" spans="1:13" ht="44" customHeight="1">
      <c r="A2" s="20"/>
      <c r="B2" s="21"/>
      <c r="C2" s="23" t="s">
        <v>78</v>
      </c>
      <c r="D2" s="24" t="s">
        <v>79</v>
      </c>
      <c r="E2" s="21"/>
      <c r="F2" s="21"/>
      <c r="G2" s="21"/>
      <c r="H2" s="21"/>
      <c r="I2" s="21"/>
      <c r="M2" s="22"/>
    </row>
    <row r="3" spans="1:13" ht="30">
      <c r="A3" s="20"/>
      <c r="B3" s="21"/>
      <c r="C3" s="25" t="s">
        <v>74</v>
      </c>
      <c r="D3" s="25" t="s">
        <v>76</v>
      </c>
      <c r="E3" s="21"/>
      <c r="F3" s="21"/>
      <c r="G3" s="21"/>
      <c r="H3" s="21"/>
      <c r="I3" s="21"/>
      <c r="J3" s="9" t="s">
        <v>74</v>
      </c>
      <c r="K3" s="9" t="s">
        <v>75</v>
      </c>
      <c r="L3" s="9" t="s">
        <v>76</v>
      </c>
      <c r="M3" s="22" t="s">
        <v>77</v>
      </c>
    </row>
    <row r="4" spans="1:13">
      <c r="C4" s="2" t="s">
        <v>0</v>
      </c>
      <c r="D4" s="2" t="s">
        <v>1</v>
      </c>
      <c r="E4" s="2" t="s">
        <v>43</v>
      </c>
      <c r="F4" s="2" t="s">
        <v>2</v>
      </c>
      <c r="G4" s="3" t="s">
        <v>3</v>
      </c>
      <c r="H4" s="2" t="s">
        <v>67</v>
      </c>
      <c r="I4" s="1" t="s">
        <v>10</v>
      </c>
    </row>
    <row r="5" spans="1:13">
      <c r="C5" s="38" t="s">
        <v>44</v>
      </c>
      <c r="D5" s="38"/>
      <c r="E5" s="38"/>
      <c r="F5" s="38"/>
      <c r="G5" s="38"/>
      <c r="H5" s="38"/>
      <c r="I5" s="38"/>
    </row>
    <row r="6" spans="1:13">
      <c r="B6" s="1"/>
      <c r="C6" s="19" t="s">
        <v>46</v>
      </c>
      <c r="D6" s="5">
        <v>1</v>
      </c>
      <c r="E6" s="5" t="s">
        <v>47</v>
      </c>
      <c r="F6" s="41">
        <v>1.5</v>
      </c>
      <c r="G6" s="41">
        <v>1.5</v>
      </c>
      <c r="H6" s="44" t="s">
        <v>14</v>
      </c>
      <c r="I6" s="47" t="s">
        <v>68</v>
      </c>
    </row>
    <row r="7" spans="1:13">
      <c r="B7" s="1"/>
      <c r="C7" s="19" t="s">
        <v>48</v>
      </c>
      <c r="D7" s="5">
        <v>2</v>
      </c>
      <c r="E7" s="5" t="s">
        <v>49</v>
      </c>
      <c r="F7" s="42"/>
      <c r="G7" s="42"/>
      <c r="H7" s="45"/>
      <c r="I7" s="48"/>
    </row>
    <row r="8" spans="1:13">
      <c r="B8" s="1"/>
      <c r="C8" s="19" t="s">
        <v>50</v>
      </c>
      <c r="D8" s="5">
        <v>0</v>
      </c>
      <c r="E8" s="5" t="s">
        <v>51</v>
      </c>
      <c r="F8" s="43"/>
      <c r="G8" s="43"/>
      <c r="H8" s="46"/>
      <c r="I8" s="49"/>
    </row>
    <row r="9" spans="1:13">
      <c r="B9" s="1"/>
      <c r="C9" s="19" t="str">
        <f>IF($C$3="PV module","1000µF 100V capacitors","22000µF 6.3V capacitors")</f>
        <v>1000µF 100V capacitors</v>
      </c>
      <c r="D9" s="5">
        <v>2</v>
      </c>
      <c r="E9" s="5" t="s">
        <v>52</v>
      </c>
      <c r="F9" s="27">
        <f>IF($C$3="PV module",2.42,2.22)</f>
        <v>2.42</v>
      </c>
      <c r="G9" s="6">
        <f t="shared" ref="G9:G13" si="0">D9*F9</f>
        <v>4.84</v>
      </c>
      <c r="H9" s="4" t="s">
        <v>14</v>
      </c>
      <c r="I9" s="26" t="str">
        <f>IF($C$3="PV module","Digi-Key PN: 1572-1313-ND","Digi-Key PN: 493-12454-ND")</f>
        <v>Digi-Key PN: 1572-1313-ND</v>
      </c>
    </row>
    <row r="10" spans="1:13">
      <c r="B10" s="1"/>
      <c r="C10" s="4" t="s">
        <v>34</v>
      </c>
      <c r="D10" s="5">
        <v>2</v>
      </c>
      <c r="E10" s="5" t="s">
        <v>53</v>
      </c>
      <c r="F10" s="17">
        <v>0.28000000000000003</v>
      </c>
      <c r="G10" s="6">
        <f t="shared" si="0"/>
        <v>0.56000000000000005</v>
      </c>
      <c r="H10" s="4" t="s">
        <v>14</v>
      </c>
      <c r="I10" s="34" t="s">
        <v>35</v>
      </c>
    </row>
    <row r="11" spans="1:13" ht="30">
      <c r="B11" s="1"/>
      <c r="C11" s="4" t="s">
        <v>38</v>
      </c>
      <c r="D11" s="5">
        <v>2</v>
      </c>
      <c r="E11" s="5" t="s">
        <v>54</v>
      </c>
      <c r="F11" s="17">
        <v>0.35</v>
      </c>
      <c r="G11" s="6">
        <f t="shared" si="0"/>
        <v>0.7</v>
      </c>
      <c r="H11" s="4" t="s">
        <v>14</v>
      </c>
      <c r="I11" s="34" t="s">
        <v>70</v>
      </c>
    </row>
    <row r="12" spans="1:13" ht="45">
      <c r="B12" s="1"/>
      <c r="C12" s="19" t="s">
        <v>56</v>
      </c>
      <c r="D12" s="5">
        <v>1</v>
      </c>
      <c r="E12" s="5" t="s">
        <v>55</v>
      </c>
      <c r="F12" s="6">
        <v>0.47</v>
      </c>
      <c r="G12" s="6">
        <f t="shared" si="0"/>
        <v>0.47</v>
      </c>
      <c r="H12" s="4" t="s">
        <v>14</v>
      </c>
      <c r="I12" s="34" t="s">
        <v>69</v>
      </c>
    </row>
    <row r="13" spans="1:13" ht="43" customHeight="1">
      <c r="B13" s="1"/>
      <c r="C13" s="26" t="str">
        <f>IF($C$3="PV module","2-pin or 3-pin screw-terminal block","2-pin screw-terminal block")</f>
        <v>2-pin or 3-pin screw-terminal block</v>
      </c>
      <c r="D13" s="28">
        <f>IF($D$3="EMR",2,IF($C$3="PV module",1,2))</f>
        <v>2</v>
      </c>
      <c r="E13" s="5" t="str">
        <f>IF($D$13=1,"J1","J1, J2")</f>
        <v>J1, J2</v>
      </c>
      <c r="F13" s="6">
        <v>0.96</v>
      </c>
      <c r="G13" s="6">
        <f t="shared" si="0"/>
        <v>1.92</v>
      </c>
      <c r="H13" s="4" t="s">
        <v>14</v>
      </c>
      <c r="I13" s="26" t="str">
        <f>IF($C$3="PV module","Can 'steal' 3-pin screw-terminal blocks from spare relay modules. Otherwise, can use 2-pin. Digi-Key PN: A97996-ND","Digi-Key PN: A97996-ND")</f>
        <v>Can 'steal' 3-pin screw-terminal blocks from spare relay modules. Otherwise, can use 2-pin. Digi-Key PN: A97996-ND</v>
      </c>
    </row>
    <row r="14" spans="1:13" ht="26">
      <c r="B14" s="1"/>
      <c r="C14" s="4" t="s">
        <v>31</v>
      </c>
      <c r="D14" s="5">
        <v>2</v>
      </c>
      <c r="E14" s="5" t="s">
        <v>58</v>
      </c>
      <c r="F14" s="6">
        <f>8.87/60</f>
        <v>0.14783333333333332</v>
      </c>
      <c r="G14" s="6">
        <f t="shared" ref="G14" si="1">D14*F14</f>
        <v>0.29566666666666663</v>
      </c>
      <c r="H14" s="4" t="s">
        <v>4</v>
      </c>
      <c r="I14" s="34" t="s">
        <v>30</v>
      </c>
    </row>
    <row r="15" spans="1:13">
      <c r="B15" s="1"/>
      <c r="C15" s="4" t="s">
        <v>19</v>
      </c>
      <c r="D15" s="5">
        <v>1</v>
      </c>
      <c r="E15" s="5" t="s">
        <v>57</v>
      </c>
      <c r="F15" s="6">
        <v>2.98</v>
      </c>
      <c r="G15" s="6">
        <f>D15*F15</f>
        <v>2.98</v>
      </c>
      <c r="H15" s="4" t="s">
        <v>14</v>
      </c>
      <c r="I15" s="34" t="s">
        <v>28</v>
      </c>
    </row>
    <row r="16" spans="1:13">
      <c r="B16" s="1"/>
      <c r="C16" s="4" t="s">
        <v>5</v>
      </c>
      <c r="D16" s="5">
        <v>1</v>
      </c>
      <c r="E16" s="5" t="s">
        <v>59</v>
      </c>
      <c r="F16" s="6">
        <v>2.67</v>
      </c>
      <c r="G16" s="6">
        <f t="shared" ref="G16:G19" si="2">D16*F16</f>
        <v>2.67</v>
      </c>
      <c r="H16" s="4" t="s">
        <v>14</v>
      </c>
      <c r="I16" s="34" t="s">
        <v>29</v>
      </c>
    </row>
    <row r="17" spans="2:9">
      <c r="B17" s="1"/>
      <c r="C17" s="19" t="str">
        <f>IF($C$3="PV module","150kΩ resistor - 1/4W","Not present in cell version")</f>
        <v>150kΩ resistor - 1/4W</v>
      </c>
      <c r="D17" s="28">
        <f>IF($C$3="PV module",1,0)</f>
        <v>1</v>
      </c>
      <c r="E17" s="5" t="s">
        <v>60</v>
      </c>
      <c r="F17" s="17">
        <f>9.99/1280</f>
        <v>7.8046875E-3</v>
      </c>
      <c r="G17" s="6">
        <f t="shared" si="2"/>
        <v>7.8046875E-3</v>
      </c>
      <c r="H17" s="4" t="s">
        <v>4</v>
      </c>
      <c r="I17" s="34" t="s">
        <v>11</v>
      </c>
    </row>
    <row r="18" spans="2:9">
      <c r="B18" s="1"/>
      <c r="C18" s="19" t="str">
        <f>IF($C$3="PV module","7.5kΩ resistor - 1/4W","Not present in cell version")</f>
        <v>7.5kΩ resistor - 1/4W</v>
      </c>
      <c r="D18" s="28">
        <f>IF($C$3="PV module",1,0)</f>
        <v>1</v>
      </c>
      <c r="E18" s="5" t="s">
        <v>61</v>
      </c>
      <c r="F18" s="17">
        <f t="shared" ref="F18:F23" si="3">9.59/1280</f>
        <v>7.4921874999999997E-3</v>
      </c>
      <c r="G18" s="6">
        <f t="shared" si="2"/>
        <v>7.4921874999999997E-3</v>
      </c>
      <c r="H18" s="4" t="s">
        <v>4</v>
      </c>
      <c r="I18" s="34" t="s">
        <v>11</v>
      </c>
    </row>
    <row r="19" spans="2:9">
      <c r="B19" s="1"/>
      <c r="C19" s="4" t="s">
        <v>9</v>
      </c>
      <c r="D19" s="5">
        <v>3</v>
      </c>
      <c r="E19" s="5" t="s">
        <v>62</v>
      </c>
      <c r="F19" s="17">
        <f t="shared" si="3"/>
        <v>7.4921874999999997E-3</v>
      </c>
      <c r="G19" s="6">
        <f t="shared" si="2"/>
        <v>2.2476562499999998E-2</v>
      </c>
      <c r="H19" s="4" t="s">
        <v>4</v>
      </c>
      <c r="I19" s="34" t="s">
        <v>20</v>
      </c>
    </row>
    <row r="20" spans="2:9">
      <c r="B20" s="1"/>
      <c r="C20" s="4" t="s">
        <v>21</v>
      </c>
      <c r="D20" s="28">
        <f>IF($D$3="SSR",1,IF($C$3="PV module",2,3))</f>
        <v>2</v>
      </c>
      <c r="E20" s="28" t="str">
        <f>IF($D$3="SSR","R5",IF($C$3="PV module","R5, R6","R5, R6, R7"))</f>
        <v>R5, R6</v>
      </c>
      <c r="F20" s="17">
        <f t="shared" si="3"/>
        <v>7.4921874999999997E-3</v>
      </c>
      <c r="G20" s="6">
        <f t="shared" ref="G20:G23" si="4">D20*F20</f>
        <v>1.4984374999999999E-2</v>
      </c>
      <c r="H20" s="4" t="s">
        <v>4</v>
      </c>
      <c r="I20" s="34" t="s">
        <v>22</v>
      </c>
    </row>
    <row r="21" spans="2:9" ht="17" customHeight="1">
      <c r="B21" s="1"/>
      <c r="C21" s="19" t="str">
        <f>IF($D$3="SSR","180Ω resistor - 1/4W","Not present in EMR version")</f>
        <v>Not present in EMR version</v>
      </c>
      <c r="D21" s="28">
        <f>IF($D$3="EMR",0,IF($C$3="PV module",3,4))</f>
        <v>0</v>
      </c>
      <c r="E21" s="28" t="str">
        <f>IF($D$3="EMR","R7-R11",IF($C$3="PV module","R6, R7, R8","R6, R9, R10, R11"))</f>
        <v>R7-R11</v>
      </c>
      <c r="F21" s="17">
        <f t="shared" si="3"/>
        <v>7.4921874999999997E-3</v>
      </c>
      <c r="G21" s="6">
        <f t="shared" ref="G21" si="5">D21*F21</f>
        <v>0</v>
      </c>
      <c r="H21" s="4" t="s">
        <v>4</v>
      </c>
      <c r="I21" s="34" t="s">
        <v>86</v>
      </c>
    </row>
    <row r="22" spans="2:9">
      <c r="B22" s="1"/>
      <c r="C22" s="4" t="s">
        <v>18</v>
      </c>
      <c r="D22" s="5">
        <v>1</v>
      </c>
      <c r="E22" s="5" t="s">
        <v>63</v>
      </c>
      <c r="F22" s="17">
        <f t="shared" si="3"/>
        <v>7.4921874999999997E-3</v>
      </c>
      <c r="G22" s="6">
        <f t="shared" ref="G22" si="6">D22*F22</f>
        <v>7.4921874999999997E-3</v>
      </c>
      <c r="H22" s="4" t="s">
        <v>4</v>
      </c>
      <c r="I22" s="34" t="s">
        <v>12</v>
      </c>
    </row>
    <row r="23" spans="2:9">
      <c r="B23" s="1"/>
      <c r="C23" s="19" t="str">
        <f>IF($C$3="PV module","Not present in module version","680kΩ resistor - 1/4W")</f>
        <v>Not present in module version</v>
      </c>
      <c r="D23" s="28">
        <f>IF($C$3="PV module",0,1)</f>
        <v>0</v>
      </c>
      <c r="E23" s="5" t="s">
        <v>80</v>
      </c>
      <c r="F23" s="17">
        <f t="shared" si="3"/>
        <v>7.4921874999999997E-3</v>
      </c>
      <c r="G23" s="6">
        <f t="shared" si="4"/>
        <v>0</v>
      </c>
      <c r="H23" s="4" t="s">
        <v>4</v>
      </c>
      <c r="I23" s="34" t="s">
        <v>12</v>
      </c>
    </row>
    <row r="24" spans="2:9" ht="45">
      <c r="B24" s="1"/>
      <c r="C24" s="19" t="str">
        <f>IF($C$3="PV module","47Ω 5W resistor","Not present in cell version")</f>
        <v>47Ω 5W resistor</v>
      </c>
      <c r="D24" s="28">
        <f>IF($C$3="PV module",1,0)</f>
        <v>1</v>
      </c>
      <c r="E24" s="5" t="s">
        <v>64</v>
      </c>
      <c r="F24" s="6">
        <v>0.78</v>
      </c>
      <c r="G24" s="6">
        <f t="shared" ref="G24:G29" si="7">D24*F24</f>
        <v>0.78</v>
      </c>
      <c r="H24" s="4" t="s">
        <v>14</v>
      </c>
      <c r="I24" s="34" t="s">
        <v>26</v>
      </c>
    </row>
    <row r="25" spans="2:9">
      <c r="B25" s="1"/>
      <c r="C25" s="4" t="s">
        <v>15</v>
      </c>
      <c r="D25" s="5">
        <v>1</v>
      </c>
      <c r="E25" s="5" t="s">
        <v>65</v>
      </c>
      <c r="F25" s="6">
        <v>2.12</v>
      </c>
      <c r="G25" s="6">
        <f t="shared" si="7"/>
        <v>2.12</v>
      </c>
      <c r="H25" s="4" t="s">
        <v>14</v>
      </c>
      <c r="I25" s="34" t="s">
        <v>32</v>
      </c>
    </row>
    <row r="26" spans="2:9">
      <c r="B26" s="1"/>
      <c r="C26" s="19" t="str">
        <f>IF($C$3="PV module","Not present in module version","2-pin header")</f>
        <v>Not present in module version</v>
      </c>
      <c r="D26" s="28">
        <f>IF($C$3="PV module",0,1)</f>
        <v>0</v>
      </c>
      <c r="E26" s="5" t="s">
        <v>81</v>
      </c>
      <c r="F26" s="6">
        <v>0.13</v>
      </c>
      <c r="G26" s="6">
        <f t="shared" si="7"/>
        <v>0</v>
      </c>
      <c r="H26" s="4" t="s">
        <v>14</v>
      </c>
      <c r="I26" s="35" t="s">
        <v>82</v>
      </c>
    </row>
    <row r="27" spans="2:9">
      <c r="B27" s="1"/>
      <c r="C27" s="19" t="str">
        <f>IF($C$3="PV module","Not present in module version","x1 DIP switch")</f>
        <v>Not present in module version</v>
      </c>
      <c r="D27" s="28">
        <f>IF($C$3="PV module",0,1)</f>
        <v>0</v>
      </c>
      <c r="E27" s="5" t="s">
        <v>81</v>
      </c>
      <c r="F27" s="6">
        <v>0.11</v>
      </c>
      <c r="G27" s="6">
        <f t="shared" si="7"/>
        <v>0</v>
      </c>
      <c r="H27" s="4" t="s">
        <v>14</v>
      </c>
      <c r="I27" s="35" t="s">
        <v>83</v>
      </c>
    </row>
    <row r="28" spans="2:9">
      <c r="B28" s="1"/>
      <c r="C28" s="19" t="str">
        <f>IF($C$3="PV module","Not present in module version","2-pin jumper")</f>
        <v>Not present in module version</v>
      </c>
      <c r="D28" s="28">
        <f>IF($C$3="PV module",0,1)</f>
        <v>0</v>
      </c>
      <c r="E28" s="5" t="s">
        <v>84</v>
      </c>
      <c r="F28" s="6">
        <v>0.88</v>
      </c>
      <c r="G28" s="6">
        <f t="shared" si="7"/>
        <v>0</v>
      </c>
      <c r="H28" s="4" t="s">
        <v>14</v>
      </c>
      <c r="I28" s="35" t="s">
        <v>85</v>
      </c>
    </row>
    <row r="29" spans="2:9" ht="35" customHeight="1">
      <c r="B29" s="1"/>
      <c r="C29" s="19" t="str">
        <f>IF($D$3="SSR","CPC1718J","Not present in EMR version")</f>
        <v>Not present in EMR version</v>
      </c>
      <c r="D29" s="28">
        <f>IF($D$3="EMR",0,IF($C$3="PV module",3,4))</f>
        <v>0</v>
      </c>
      <c r="E29" s="28" t="str">
        <f>IF($D$3="EMR","SSR1-SSR6",IF($C$3="PV module","SSR1, SSR2, SSR3","SSR1, SSR4, SSR5, SSR6"))</f>
        <v>SSR1-SSR6</v>
      </c>
      <c r="F29" s="17">
        <v>6.55</v>
      </c>
      <c r="G29" s="6">
        <f t="shared" si="7"/>
        <v>0</v>
      </c>
      <c r="H29" s="4" t="s">
        <v>14</v>
      </c>
      <c r="I29" s="34" t="s">
        <v>87</v>
      </c>
    </row>
    <row r="30" spans="2:9" ht="68" customHeight="1">
      <c r="B30" s="1"/>
      <c r="C30" s="19" t="str">
        <f>IF($C$3="PV module","15SQ100 Schottky bypass diode","15SQ045 Schottky bypass diode")</f>
        <v>15SQ100 Schottky bypass diode</v>
      </c>
      <c r="D30" s="5">
        <v>1</v>
      </c>
      <c r="E30" s="29" t="str">
        <f>IF($C$3="PV module","D1,D4","D1,D2")</f>
        <v>D1,D4</v>
      </c>
      <c r="F30" s="27">
        <f>IF($C$3="PV module",0.75,0.65)</f>
        <v>0.75</v>
      </c>
      <c r="G30" s="6">
        <f t="shared" ref="G30" si="8">D30*F30</f>
        <v>0.75</v>
      </c>
      <c r="H30" s="4" t="s">
        <v>14</v>
      </c>
      <c r="I30" s="19" t="str">
        <f>IF($C$3="PV module","Reverse connection bypass diode. Connect one 15SQ100 (100V) between pads D1 and D4 or connect one 15SQ045 (45V) between pads D1 and D2 and another between pads D3 and D4.  Digi-Key PN: 1655-1355-1-ND (100) Digi-Key PN: 1655-1354-1-ND (45)","Reverse connection bypass diode. Connect between pads D1 and D2. Digi-Key PN: 1655-1354-1-ND")</f>
        <v>Reverse connection bypass diode. Connect one 15SQ100 (100V) between pads D1 and D4 or connect one 15SQ045 (45V) between pads D1 and D2 and another between pads D3 and D4.  Digi-Key PN: 1655-1355-1-ND (100) Digi-Key PN: 1655-1354-1-ND (45)</v>
      </c>
    </row>
    <row r="31" spans="2:9">
      <c r="C31" s="40"/>
      <c r="D31" s="40"/>
      <c r="E31" s="40"/>
      <c r="F31" s="40"/>
      <c r="G31" s="40"/>
      <c r="H31" s="40"/>
      <c r="I31" s="40"/>
    </row>
    <row r="32" spans="2:9">
      <c r="C32" s="39" t="s">
        <v>45</v>
      </c>
      <c r="D32" s="39"/>
      <c r="E32" s="39"/>
      <c r="F32" s="39"/>
      <c r="G32" s="39"/>
      <c r="H32" s="39"/>
      <c r="I32" s="39"/>
    </row>
    <row r="33" spans="2:9" ht="30">
      <c r="B33" s="1"/>
      <c r="C33" s="4" t="s">
        <v>16</v>
      </c>
      <c r="D33" s="5">
        <v>1</v>
      </c>
      <c r="E33" s="5"/>
      <c r="F33" s="6">
        <v>10.86</v>
      </c>
      <c r="G33" s="6">
        <f t="shared" ref="G33:G34" si="9">D33*F33</f>
        <v>10.86</v>
      </c>
      <c r="H33" s="4" t="s">
        <v>4</v>
      </c>
      <c r="I33" s="34" t="s">
        <v>42</v>
      </c>
    </row>
    <row r="34" spans="2:9">
      <c r="B34" s="1"/>
      <c r="C34" s="4" t="s">
        <v>23</v>
      </c>
      <c r="D34" s="5">
        <v>1</v>
      </c>
      <c r="E34" s="5"/>
      <c r="F34" s="6">
        <v>5</v>
      </c>
      <c r="G34" s="6">
        <f t="shared" si="9"/>
        <v>5</v>
      </c>
      <c r="H34" s="4" t="s">
        <v>24</v>
      </c>
      <c r="I34" s="34"/>
    </row>
    <row r="35" spans="2:9">
      <c r="B35" s="1"/>
      <c r="C35" s="19" t="s">
        <v>13</v>
      </c>
      <c r="D35" s="28">
        <f>IF($C$3="PV module",1,2)</f>
        <v>1</v>
      </c>
      <c r="E35" s="5"/>
      <c r="F35" s="6">
        <v>3.69</v>
      </c>
      <c r="G35" s="6">
        <f>D35*F35</f>
        <v>3.69</v>
      </c>
      <c r="H35" s="4" t="s">
        <v>14</v>
      </c>
      <c r="I35" s="34" t="s">
        <v>27</v>
      </c>
    </row>
    <row r="36" spans="2:9" ht="55" customHeight="1">
      <c r="B36" s="1"/>
      <c r="C36" s="19" t="str">
        <f>IF($D$3="SSR","Not present in SSR version",IF($C$3="PV module","Relay module","2-channel relay module"))</f>
        <v>Relay module</v>
      </c>
      <c r="D36" s="28">
        <f>IF($D$3="EMR",1,0)</f>
        <v>1</v>
      </c>
      <c r="E36" s="5"/>
      <c r="F36" s="27">
        <f>IF($C$3="PV module",8.99/5,6.79)</f>
        <v>1.798</v>
      </c>
      <c r="G36" s="6">
        <f t="shared" ref="G36:G39" si="10">D36*F36</f>
        <v>1.798</v>
      </c>
      <c r="H36" s="4" t="s">
        <v>4</v>
      </c>
      <c r="I36" s="26" t="str">
        <f>IF($C$3="PV module","5V 1 Channel Relay Shield Module Optocoupler For PIC AVR DSP ARM Arduino TE213","SunFounder 2 Channel DC 5V Relay Module with Optocoupler Low Level Trigger Expansion Board for Arduino UNO R3 MEGA 2560 1280 DSP ARM PIC AVR STM32 Raspberry Pi")</f>
        <v>5V 1 Channel Relay Shield Module Optocoupler For PIC AVR DSP ARM Arduino TE213</v>
      </c>
    </row>
    <row r="37" spans="2:9" ht="60">
      <c r="B37" s="1"/>
      <c r="C37" s="19" t="s">
        <v>66</v>
      </c>
      <c r="D37" s="5">
        <v>1</v>
      </c>
      <c r="E37" s="5"/>
      <c r="F37" s="6">
        <f>(7.99/25)*3</f>
        <v>0.95879999999999999</v>
      </c>
      <c r="G37" s="6">
        <f t="shared" si="10"/>
        <v>0.95879999999999999</v>
      </c>
      <c r="H37" s="4" t="s">
        <v>4</v>
      </c>
      <c r="I37" s="34" t="s">
        <v>71</v>
      </c>
    </row>
    <row r="38" spans="2:9" ht="30">
      <c r="B38" s="1"/>
      <c r="C38" s="19" t="s">
        <v>33</v>
      </c>
      <c r="D38" s="28">
        <f>IF($C$3="PV module",2,4)</f>
        <v>2</v>
      </c>
      <c r="E38" s="5"/>
      <c r="F38" s="6">
        <v>0.2</v>
      </c>
      <c r="G38" s="6">
        <f t="shared" si="10"/>
        <v>0.4</v>
      </c>
      <c r="H38" s="4" t="s">
        <v>14</v>
      </c>
      <c r="I38" s="34" t="s">
        <v>40</v>
      </c>
    </row>
    <row r="39" spans="2:9" ht="45">
      <c r="B39" s="1"/>
      <c r="C39" s="19" t="str">
        <f>IF($D$3="SSR","Not present in SSR version",IF($C$3="PV module","4 inch Male to Female jumpers (1 blue, 1 red, 1 black)","4 inch Male to Female jumpers (1 blue, 1 white, 1 red, 1 black)"))</f>
        <v>4 inch Male to Female jumpers (1 blue, 1 red, 1 black)</v>
      </c>
      <c r="D39" s="28">
        <f>IF($D$3="SSR",0,IF($C$3="PV module",3,4))</f>
        <v>3</v>
      </c>
      <c r="E39" s="5"/>
      <c r="F39" s="18">
        <f>5.99/80</f>
        <v>7.4874999999999997E-2</v>
      </c>
      <c r="G39" s="6">
        <f t="shared" si="10"/>
        <v>0.22462499999999999</v>
      </c>
      <c r="H39" s="4" t="s">
        <v>4</v>
      </c>
      <c r="I39" s="34" t="s">
        <v>72</v>
      </c>
    </row>
    <row r="40" spans="2:9">
      <c r="C40" s="40"/>
      <c r="D40" s="40"/>
      <c r="E40" s="40"/>
      <c r="F40" s="40"/>
      <c r="G40" s="40"/>
      <c r="H40" s="40"/>
      <c r="I40" s="40"/>
    </row>
    <row r="41" spans="2:9">
      <c r="C41" s="39" t="s">
        <v>8</v>
      </c>
      <c r="D41" s="39"/>
      <c r="E41" s="39"/>
      <c r="F41" s="39"/>
      <c r="G41" s="39"/>
      <c r="H41" s="39"/>
      <c r="I41" s="39"/>
    </row>
    <row r="42" spans="2:9">
      <c r="B42" s="1"/>
      <c r="C42" s="4" t="s">
        <v>39</v>
      </c>
      <c r="D42" s="5">
        <v>1</v>
      </c>
      <c r="E42" s="5"/>
      <c r="F42" s="6">
        <v>5.75</v>
      </c>
      <c r="G42" s="6">
        <f>D42*F42</f>
        <v>5.75</v>
      </c>
      <c r="H42" s="4" t="s">
        <v>4</v>
      </c>
      <c r="I42" s="34"/>
    </row>
    <row r="43" spans="2:9" ht="26">
      <c r="B43" s="1"/>
      <c r="C43" s="4" t="s">
        <v>7</v>
      </c>
      <c r="D43" s="28">
        <f>IF($D$3="EMR",8,4)</f>
        <v>8</v>
      </c>
      <c r="E43" s="5"/>
      <c r="F43" s="6">
        <f>5.17/50</f>
        <v>0.10339999999999999</v>
      </c>
      <c r="G43" s="6">
        <f t="shared" ref="G43" si="11">D43*F43</f>
        <v>0.82719999999999994</v>
      </c>
      <c r="H43" s="4" t="s">
        <v>4</v>
      </c>
      <c r="I43" s="34" t="s">
        <v>17</v>
      </c>
    </row>
    <row r="44" spans="2:9" ht="26">
      <c r="B44" s="1"/>
      <c r="C44" s="4" t="s">
        <v>36</v>
      </c>
      <c r="D44" s="28">
        <f>IF($D$3="EMR",8,4)</f>
        <v>8</v>
      </c>
      <c r="E44" s="5"/>
      <c r="F44" s="6">
        <f>5.49/100</f>
        <v>5.4900000000000004E-2</v>
      </c>
      <c r="G44" s="6">
        <f t="shared" ref="G44:G45" si="12">D44*F44</f>
        <v>0.43920000000000003</v>
      </c>
      <c r="H44" s="4" t="s">
        <v>4</v>
      </c>
      <c r="I44" s="34" t="s">
        <v>37</v>
      </c>
    </row>
    <row r="45" spans="2:9" ht="30">
      <c r="B45" s="1"/>
      <c r="C45" s="19" t="s">
        <v>25</v>
      </c>
      <c r="D45" s="5">
        <v>1</v>
      </c>
      <c r="E45" s="5"/>
      <c r="F45" s="6">
        <f>7.99/5</f>
        <v>1.5980000000000001</v>
      </c>
      <c r="G45" s="6">
        <f t="shared" si="12"/>
        <v>1.5980000000000001</v>
      </c>
      <c r="H45" s="4" t="s">
        <v>4</v>
      </c>
      <c r="I45" s="34" t="s">
        <v>41</v>
      </c>
    </row>
    <row r="46" spans="2:9">
      <c r="C46" s="7" t="s">
        <v>6</v>
      </c>
      <c r="D46" s="10"/>
      <c r="E46" s="10"/>
      <c r="F46" s="10"/>
      <c r="G46" s="12">
        <f>SUM(G$6:G45)</f>
        <v>51.191741666666658</v>
      </c>
      <c r="H46" s="10"/>
      <c r="I46" s="13"/>
    </row>
    <row r="47" spans="2:9" ht="19" customHeight="1">
      <c r="C47" s="30" t="s">
        <v>88</v>
      </c>
      <c r="D47" s="33" t="str">
        <f>HYPERLINK(IF($C$3="PV module",IF($D$3="EMR","http://a.co/eATZzyu","http://a.co/2uZNcUZ"), IF($D$3="EMR","http://a.co/aBTNpsT","http://a.co/cGEBoCO")))</f>
        <v>http://a.co/eATZzyu</v>
      </c>
      <c r="I47" s="13"/>
    </row>
    <row r="48" spans="2:9" ht="23">
      <c r="C48" s="31" t="s">
        <v>89</v>
      </c>
      <c r="D48" s="32" t="str">
        <f>HYPERLINK(IF($C$3="PV module",IF($D$3="EMR","https://www.digikey.com/short/p7phfh","https://www.digikey.com/short/p7p9mb"), IF($D$3="EMR","https://www.digikey.com/short/p7pbmm","https://www.digikey.com/short/p7pbff")))</f>
        <v>https://www.digikey.com/short/p7phfh</v>
      </c>
      <c r="I48" s="13"/>
    </row>
    <row r="49" spans="3:9">
      <c r="C49" s="15"/>
    </row>
    <row r="50" spans="3:9">
      <c r="C50" s="11"/>
      <c r="I50" s="13"/>
    </row>
    <row r="51" spans="3:9">
      <c r="C51" s="11"/>
      <c r="I51" s="13"/>
    </row>
    <row r="52" spans="3:9">
      <c r="C52" s="14"/>
      <c r="I52" s="13"/>
    </row>
    <row r="53" spans="3:9">
      <c r="C53" s="11"/>
      <c r="I53" s="13"/>
    </row>
    <row r="54" spans="3:9">
      <c r="C54" s="11"/>
      <c r="I54" s="13"/>
    </row>
    <row r="55" spans="3:9">
      <c r="C55" s="14"/>
      <c r="I55" s="13"/>
    </row>
    <row r="56" spans="3:9">
      <c r="C56" s="14"/>
      <c r="I56" s="13"/>
    </row>
    <row r="57" spans="3:9">
      <c r="C57" s="14"/>
      <c r="I57" s="13"/>
    </row>
    <row r="58" spans="3:9">
      <c r="C58" s="11"/>
      <c r="I58" s="13"/>
    </row>
    <row r="59" spans="3:9">
      <c r="C59" s="11"/>
      <c r="I59" s="13"/>
    </row>
    <row r="60" spans="3:9">
      <c r="C60" s="11"/>
      <c r="I60" s="13"/>
    </row>
    <row r="61" spans="3:9">
      <c r="C61" s="8"/>
      <c r="I61" s="13"/>
    </row>
    <row r="62" spans="3:9">
      <c r="C62" s="11"/>
      <c r="I62" s="13"/>
    </row>
    <row r="63" spans="3:9">
      <c r="C63" s="11"/>
      <c r="I63" s="13"/>
    </row>
    <row r="64" spans="3:9" ht="20" customHeight="1">
      <c r="C64" s="11"/>
      <c r="I64" s="13"/>
    </row>
    <row r="65" spans="3:9">
      <c r="C65" s="11"/>
      <c r="I65" s="13"/>
    </row>
    <row r="66" spans="3:9">
      <c r="C66" s="11"/>
      <c r="I66" s="13"/>
    </row>
    <row r="67" spans="3:9">
      <c r="C67" s="11"/>
      <c r="I67" s="13"/>
    </row>
    <row r="68" spans="3:9">
      <c r="C68" s="11"/>
      <c r="I68" s="13"/>
    </row>
    <row r="69" spans="3:9">
      <c r="C69" s="11"/>
      <c r="I69" s="13"/>
    </row>
    <row r="70" spans="3:9">
      <c r="C70" s="16"/>
      <c r="I70" s="13"/>
    </row>
    <row r="71" spans="3:9">
      <c r="C71" s="14"/>
      <c r="I71" s="13"/>
    </row>
    <row r="72" spans="3:9">
      <c r="C72" s="11"/>
      <c r="I72" s="13"/>
    </row>
    <row r="73" spans="3:9">
      <c r="C73" s="11"/>
      <c r="I73" s="13"/>
    </row>
    <row r="74" spans="3:9">
      <c r="C74" s="11"/>
      <c r="I74" s="13"/>
    </row>
    <row r="75" spans="3:9">
      <c r="C75" s="11"/>
    </row>
    <row r="76" spans="3:9">
      <c r="C76" s="16"/>
      <c r="I76" s="13"/>
    </row>
    <row r="77" spans="3:9">
      <c r="C77" s="11"/>
      <c r="I77" s="13"/>
    </row>
    <row r="78" spans="3:9">
      <c r="C78" s="11"/>
      <c r="I78" s="13"/>
    </row>
    <row r="79" spans="3:9">
      <c r="C79" s="11"/>
      <c r="I79" s="13"/>
    </row>
    <row r="80" spans="3:9">
      <c r="C80" s="11"/>
      <c r="I80" s="13"/>
    </row>
    <row r="81" spans="3:9">
      <c r="C81" s="11"/>
      <c r="I81" s="13"/>
    </row>
    <row r="82" spans="3:9">
      <c r="C82" s="11"/>
      <c r="I82" s="13"/>
    </row>
    <row r="83" spans="3:9">
      <c r="C83" s="11"/>
      <c r="I83" s="13"/>
    </row>
    <row r="84" spans="3:9">
      <c r="C84" s="15"/>
      <c r="I84" s="13"/>
    </row>
    <row r="85" spans="3:9">
      <c r="C85" s="15"/>
    </row>
    <row r="86" spans="3:9">
      <c r="C86" s="15"/>
    </row>
    <row r="87" spans="3:9">
      <c r="C87" s="15"/>
    </row>
    <row r="88" spans="3:9">
      <c r="C88" s="15"/>
    </row>
    <row r="89" spans="3:9">
      <c r="C89" s="15"/>
    </row>
    <row r="90" spans="3:9">
      <c r="C90" s="15"/>
    </row>
    <row r="91" spans="3:9">
      <c r="C91" s="15"/>
    </row>
    <row r="92" spans="3:9">
      <c r="C92" s="15"/>
    </row>
    <row r="93" spans="3:9">
      <c r="C93" s="15"/>
    </row>
    <row r="94" spans="3:9">
      <c r="C94" s="15"/>
    </row>
    <row r="95" spans="3:9">
      <c r="C95" s="15"/>
    </row>
    <row r="96" spans="3:9">
      <c r="C96" s="15"/>
    </row>
    <row r="97" spans="3:3">
      <c r="C97" s="15"/>
    </row>
    <row r="98" spans="3:3">
      <c r="C98" s="15"/>
    </row>
    <row r="99" spans="3:3">
      <c r="C99" s="15"/>
    </row>
    <row r="100" spans="3:3">
      <c r="C100" s="15"/>
    </row>
    <row r="101" spans="3:3">
      <c r="C101" s="15"/>
    </row>
    <row r="102" spans="3:3">
      <c r="C102" s="15"/>
    </row>
    <row r="103" spans="3:3">
      <c r="C103" s="15"/>
    </row>
    <row r="104" spans="3:3">
      <c r="C104" s="15"/>
    </row>
    <row r="105" spans="3:3">
      <c r="C105" s="15"/>
    </row>
  </sheetData>
  <sortState ref="C26:I31">
    <sortCondition descending="1" ref="F26:F31"/>
  </sortState>
  <mergeCells count="10">
    <mergeCell ref="A1:I1"/>
    <mergeCell ref="C5:I5"/>
    <mergeCell ref="C32:I32"/>
    <mergeCell ref="C41:I41"/>
    <mergeCell ref="C31:I31"/>
    <mergeCell ref="C40:I40"/>
    <mergeCell ref="F6:F8"/>
    <mergeCell ref="G6:G8"/>
    <mergeCell ref="H6:H8"/>
    <mergeCell ref="I6:I8"/>
  </mergeCells>
  <phoneticPr fontId="8" type="noConversion"/>
  <conditionalFormatting sqref="B21:I21">
    <cfRule type="expression" dxfId="10" priority="11">
      <formula>$D21=0</formula>
    </cfRule>
  </conditionalFormatting>
  <conditionalFormatting sqref="B23:I23">
    <cfRule type="expression" dxfId="9" priority="10">
      <formula>$D23=0</formula>
    </cfRule>
  </conditionalFormatting>
  <conditionalFormatting sqref="B24:I24">
    <cfRule type="expression" dxfId="8" priority="1">
      <formula>$D24=0</formula>
    </cfRule>
    <cfRule type="expression" dxfId="7" priority="9">
      <formula>$D24=0</formula>
    </cfRule>
  </conditionalFormatting>
  <conditionalFormatting sqref="B26:I26">
    <cfRule type="expression" dxfId="6" priority="8">
      <formula>$D26=0</formula>
    </cfRule>
  </conditionalFormatting>
  <conditionalFormatting sqref="B27:I27">
    <cfRule type="expression" dxfId="5" priority="7">
      <formula>$D27=0</formula>
    </cfRule>
  </conditionalFormatting>
  <conditionalFormatting sqref="B28:I28">
    <cfRule type="expression" dxfId="4" priority="6">
      <formula>$D28=0</formula>
    </cfRule>
  </conditionalFormatting>
  <conditionalFormatting sqref="B29:I29">
    <cfRule type="expression" dxfId="3" priority="5">
      <formula>$D29=0</formula>
    </cfRule>
  </conditionalFormatting>
  <conditionalFormatting sqref="B36:I36">
    <cfRule type="expression" dxfId="2" priority="4">
      <formula>$D36=0</formula>
    </cfRule>
  </conditionalFormatting>
  <conditionalFormatting sqref="B39:I39">
    <cfRule type="expression" dxfId="1" priority="3">
      <formula>$D39=0</formula>
    </cfRule>
  </conditionalFormatting>
  <conditionalFormatting sqref="B17:I18">
    <cfRule type="expression" dxfId="0" priority="2">
      <formula>$D17=0</formula>
    </cfRule>
  </conditionalFormatting>
  <dataValidations count="2">
    <dataValidation type="list" showInputMessage="1" showErrorMessage="1" sqref="C3">
      <formula1>$J$3:$K$3</formula1>
    </dataValidation>
    <dataValidation type="list" showInputMessage="1" showErrorMessage="1" sqref="D3">
      <formula1>$L$3:$M$3</formula1>
    </dataValidation>
  </dataValidations>
  <printOptions horizontalCentered="1"/>
  <pageMargins left="0" right="0" top="0" bottom="0" header="0" footer="0"/>
  <pageSetup scale="62"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W</dc:creator>
  <cp:lastModifiedBy>Cindy W</cp:lastModifiedBy>
  <cp:lastPrinted>2019-01-10T01:44:48Z</cp:lastPrinted>
  <dcterms:created xsi:type="dcterms:W3CDTF">2015-06-15T19:51:48Z</dcterms:created>
  <dcterms:modified xsi:type="dcterms:W3CDTF">2019-01-10T01:47:01Z</dcterms:modified>
</cp:coreProperties>
</file>