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satt/GitHub/IV_Swinger/PCB/BOM/"/>
    </mc:Choice>
  </mc:AlternateContent>
  <xr:revisionPtr revIDLastSave="0" documentId="13_ncr:1_{9D3304E5-4606-034C-A829-C30F95204DDC}" xr6:coauthVersionLast="47" xr6:coauthVersionMax="47" xr10:uidLastSave="{00000000-0000-0000-0000-000000000000}"/>
  <bookViews>
    <workbookView xWindow="37460" yWindow="500" windowWidth="29500" windowHeight="26780" tabRatio="500" xr2:uid="{00000000-000D-0000-FFFF-FFFF00000000}"/>
  </bookViews>
  <sheets>
    <sheet name="BOM" sheetId="1" r:id="rId1"/>
  </sheets>
  <definedNames>
    <definedName name="_xlnm.Print_Area" localSheetId="0">BOM!$A$1:$I$56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1" l="1"/>
  <c r="F48" i="1"/>
  <c r="F47" i="1"/>
  <c r="F46" i="1"/>
  <c r="F45" i="1"/>
  <c r="F39" i="1"/>
  <c r="D56" i="1"/>
  <c r="D55" i="1"/>
  <c r="F32" i="1" l="1"/>
  <c r="F9" i="1"/>
  <c r="E32" i="1"/>
  <c r="C32" i="1"/>
  <c r="D41" i="1" l="1"/>
  <c r="C41" i="1"/>
  <c r="C38" i="1"/>
  <c r="D38" i="1"/>
  <c r="D31" i="1"/>
  <c r="G31" i="1" s="1"/>
  <c r="C31" i="1"/>
  <c r="C30" i="1"/>
  <c r="D30" i="1"/>
  <c r="G30" i="1" s="1"/>
  <c r="D29" i="1"/>
  <c r="C29" i="1"/>
  <c r="I21" i="1"/>
  <c r="E20" i="1"/>
  <c r="D20" i="1"/>
  <c r="E21" i="1"/>
  <c r="D21" i="1"/>
  <c r="C21" i="1"/>
  <c r="I13" i="1"/>
  <c r="C13" i="1"/>
  <c r="I6" i="1"/>
  <c r="E3" i="1" l="1"/>
  <c r="I9" i="1"/>
  <c r="D48" i="1"/>
  <c r="C48" i="1"/>
  <c r="D45" i="1"/>
  <c r="D46" i="1" s="1"/>
  <c r="C27" i="1"/>
  <c r="C28" i="1"/>
  <c r="D40" i="1"/>
  <c r="G40" i="1" s="1"/>
  <c r="I39" i="1"/>
  <c r="D54" i="1"/>
  <c r="C52" i="1"/>
  <c r="C51" i="1"/>
  <c r="D51" i="1"/>
  <c r="G51" i="1" s="1"/>
  <c r="D52" i="1"/>
  <c r="G52" i="1" s="1"/>
  <c r="D13" i="1"/>
  <c r="G13" i="1" s="1"/>
  <c r="D23" i="1"/>
  <c r="G32" i="1"/>
  <c r="E29" i="1"/>
  <c r="G29" i="1"/>
  <c r="G21" i="1"/>
  <c r="G20" i="1"/>
  <c r="F21" i="1"/>
  <c r="I38" i="1"/>
  <c r="F38" i="1"/>
  <c r="D37" i="1"/>
  <c r="G37" i="1" s="1"/>
  <c r="D28" i="1"/>
  <c r="G28" i="1" s="1"/>
  <c r="D27" i="1"/>
  <c r="G27" i="1" s="1"/>
  <c r="D26" i="1"/>
  <c r="G26" i="1" s="1"/>
  <c r="C26" i="1"/>
  <c r="C17" i="1"/>
  <c r="D24" i="1"/>
  <c r="G24" i="1" s="1"/>
  <c r="C24" i="1"/>
  <c r="C23" i="1"/>
  <c r="F22" i="1"/>
  <c r="G22" i="1"/>
  <c r="C18" i="1"/>
  <c r="D18" i="1"/>
  <c r="G18" i="1" s="1"/>
  <c r="D17" i="1"/>
  <c r="G9" i="1"/>
  <c r="C9" i="1"/>
  <c r="F17" i="1"/>
  <c r="G12" i="1"/>
  <c r="G25" i="1"/>
  <c r="F23" i="1"/>
  <c r="F19" i="1"/>
  <c r="G19" i="1" s="1"/>
  <c r="F18" i="1"/>
  <c r="G16" i="1"/>
  <c r="G14" i="1"/>
  <c r="F20" i="1"/>
  <c r="G11" i="1"/>
  <c r="G15" i="1"/>
  <c r="G10" i="1"/>
  <c r="G36" i="1"/>
  <c r="G35" i="1"/>
  <c r="F41" i="1"/>
  <c r="G39" i="1"/>
  <c r="G44" i="1"/>
  <c r="G46" i="1" l="1"/>
  <c r="G41" i="1"/>
  <c r="G48" i="1"/>
  <c r="G23" i="1"/>
  <c r="G17" i="1"/>
  <c r="G38" i="1"/>
  <c r="E13" i="1"/>
  <c r="G45" i="1"/>
  <c r="D47" i="1"/>
  <c r="G47" i="1" s="1"/>
  <c r="G53" i="1" l="1"/>
</calcChain>
</file>

<file path=xl/sharedStrings.xml><?xml version="1.0" encoding="utf-8"?>
<sst xmlns="http://schemas.openxmlformats.org/spreadsheetml/2006/main" count="152" uniqueCount="109">
  <si>
    <t>Description</t>
  </si>
  <si>
    <t>Quantity</t>
  </si>
  <si>
    <t>Unit Price</t>
  </si>
  <si>
    <t>Total Price</t>
  </si>
  <si>
    <t>Amazon</t>
  </si>
  <si>
    <t>Op amp – TLV2462</t>
  </si>
  <si>
    <t>Total</t>
  </si>
  <si>
    <t>Enclosure</t>
  </si>
  <si>
    <t>1kΩ resistor - 1/4W</t>
  </si>
  <si>
    <t>Notes</t>
  </si>
  <si>
    <t>Voltmeter - divider</t>
  </si>
  <si>
    <t>Ammeter - op amp circuit</t>
  </si>
  <si>
    <t>Binding posts</t>
  </si>
  <si>
    <t>Digi-Key</t>
  </si>
  <si>
    <t>0.005Ω shunt resistor</t>
  </si>
  <si>
    <t>Arduino Uno clone</t>
  </si>
  <si>
    <t>75kΩ resistor - 1/4W</t>
  </si>
  <si>
    <t>ADC - MCP3202</t>
  </si>
  <si>
    <t>Voltmeter and ammeter op amp circuits, relay input</t>
  </si>
  <si>
    <t>22kΩ resistor - 1/4W</t>
  </si>
  <si>
    <t>Arduino output pull-ups</t>
  </si>
  <si>
    <t>Donation to arduino.cc</t>
  </si>
  <si>
    <t>arduino.cc</t>
  </si>
  <si>
    <t>Bleed resistor. Needs to be able to handle 6.4J pulse energy (for 80V Voc; less for lower Voc: 0.5 * 0.002F * Voc^2). Digi-Key PN:PPC5W47.0CT-ND</t>
  </si>
  <si>
    <t>Digi-Key PN: 501-1713-ND</t>
  </si>
  <si>
    <t>Digi-Key PN: MCP3202-BI/P-ND</t>
  </si>
  <si>
    <t>Ammeter.  Digi-Key PN: 296-1892-5-ND</t>
  </si>
  <si>
    <t>8-pin DIP socket (optional)</t>
  </si>
  <si>
    <t>Cable ring connectors</t>
  </si>
  <si>
    <t>0.1µF capacitor</t>
  </si>
  <si>
    <t>Op amp and ADC Vdd filter. Digi-Key PN: BC2665CT-ND</t>
  </si>
  <si>
    <t>2.2nF (2200 pF) capacitor</t>
  </si>
  <si>
    <t>Ultra Pro Baseball Clear Square Holder</t>
  </si>
  <si>
    <t>Binding post internal connections. Digi-Key PN: 277-11154-ND</t>
  </si>
  <si>
    <t>Elegoo UNO R3 Board ATmega328P ATMEGA16U2 with USB Cable Compatible With Arduino UNO R3</t>
  </si>
  <si>
    <t>On-PCB parts</t>
  </si>
  <si>
    <t>Off-PCB parts</t>
  </si>
  <si>
    <t>10-pin stackable female header</t>
  </si>
  <si>
    <t>A1</t>
  </si>
  <si>
    <t>8-pin stackable female header</t>
  </si>
  <si>
    <t>A2, A3</t>
  </si>
  <si>
    <t>6-pin stackable female header</t>
  </si>
  <si>
    <t>A4</t>
  </si>
  <si>
    <t>C1, C2</t>
  </si>
  <si>
    <t>C3, C6</t>
  </si>
  <si>
    <t>C4, C5</t>
  </si>
  <si>
    <t>FH</t>
  </si>
  <si>
    <t>4-pin female header</t>
  </si>
  <si>
    <t>MCP3202</t>
  </si>
  <si>
    <t>MCP3202, TLV2462</t>
  </si>
  <si>
    <t>TLV2462</t>
  </si>
  <si>
    <t>R1</t>
  </si>
  <si>
    <t>R2</t>
  </si>
  <si>
    <t>R3, R4, RG</t>
  </si>
  <si>
    <t>RF</t>
  </si>
  <si>
    <t>RB</t>
  </si>
  <si>
    <t>SHUNT</t>
  </si>
  <si>
    <t>18ga solid wire or zip cord</t>
  </si>
  <si>
    <t>Purchase From</t>
  </si>
  <si>
    <t>Extra +5V and GND for temperature and irradiance sensors. Can be omitted if no plans for those (or can be added later). Digi-Key PN: S7037-ND</t>
  </si>
  <si>
    <t>Voltmeter and ammeter op amp circuits. Digi-Key PN: 399-4166-ND</t>
  </si>
  <si>
    <t>Relay to stack connector wires. GenBasic 80 Piece Male to Female Solderless Ribbon Dupont Jumper Wires (4 and 8 Inch) for Breadboard Prototyping</t>
  </si>
  <si>
    <t>Bill of Materials for PCB-based IV Swinger 2</t>
  </si>
  <si>
    <t>PV module</t>
  </si>
  <si>
    <t>PV cell</t>
  </si>
  <si>
    <t>EMR</t>
  </si>
  <si>
    <t>SSR</t>
  </si>
  <si>
    <t>PV type</t>
  </si>
  <si>
    <t>Relay Type</t>
  </si>
  <si>
    <t>RF1</t>
  </si>
  <si>
    <t>JP</t>
  </si>
  <si>
    <t>Low current jumper header. Digi-Key PN: 732-5315-ND</t>
  </si>
  <si>
    <t>Low current jumper. Digi-Key PN: S9337-ND</t>
  </si>
  <si>
    <t>OFF=LO_CUR</t>
  </si>
  <si>
    <t>Alternate to jumper. Digi-Key PN: 732-3831-5-ND</t>
  </si>
  <si>
    <t>Digi-Key cart:</t>
  </si>
  <si>
    <t xml:space="preserve">IC sockets. Recommended so ICs can be replaced more easily. Digi-Key PN: 1212-1003-ND </t>
  </si>
  <si>
    <t>Bias Battery</t>
  </si>
  <si>
    <t>Digi-Key PN: BH2DL-ND</t>
  </si>
  <si>
    <t>Or at grocery store, Target, etc.</t>
  </si>
  <si>
    <t>Solid State Relays (SSRs). Digi-Key PN: CLA315-ND</t>
  </si>
  <si>
    <t>M3 nuts</t>
  </si>
  <si>
    <t>M3 screws (1/4 inch)</t>
  </si>
  <si>
    <t>Price goes up in baseball season</t>
  </si>
  <si>
    <t>M3 15mm body, 6mm thread nylon male-female standoff spacer</t>
  </si>
  <si>
    <t>uxcell 50pcs M3 15+6mm Male Female Thread Nylon Hex Standoff Spacer Screws PCB Pillar Black (also available from Digi-Key or eBay)</t>
  </si>
  <si>
    <t>StarTech PC Mounting Computer Screws M3 x 1/4-Inches Long Standoff - 50 Pack SCREWM3 (also available from Digi-Key or eBay)</t>
  </si>
  <si>
    <t>Shapenty 100PCS 3mm Small Stainless Steel Female Thread Hex Screw Nut Fastener Tool, M3 (also available from Digi-Key or eBay)</t>
  </si>
  <si>
    <t>Name(s)</t>
  </si>
  <si>
    <t>Arduino</t>
  </si>
  <si>
    <t>Load circuit wire</t>
  </si>
  <si>
    <t>Cable rings</t>
  </si>
  <si>
    <t>Case</t>
  </si>
  <si>
    <t>Standoffs</t>
  </si>
  <si>
    <t>Screws</t>
  </si>
  <si>
    <t>Nuts</t>
  </si>
  <si>
    <t>MC-4</t>
  </si>
  <si>
    <t>Jumpers</t>
  </si>
  <si>
    <t>Donation</t>
  </si>
  <si>
    <t>FET</t>
  </si>
  <si>
    <t>FET1, FET2, FET3</t>
  </si>
  <si>
    <t>CPC1596</t>
  </si>
  <si>
    <t>Field Effect Transistors (FETs). Digi-Key PN:IRF540NPBF-ND</t>
  </si>
  <si>
    <t>Gate driver for FET1. DigiKey PN:212-CPC1596G-ND</t>
  </si>
  <si>
    <t>Ammeter.  Digi-Key PN: 13FR005E-ND</t>
  </si>
  <si>
    <t>Only purchase items with ALT_# in Customer Reference if primary has Availability = "Backorder"</t>
  </si>
  <si>
    <t>Amazon wish list:</t>
  </si>
  <si>
    <t>Digi-Key/Mouser CSV:</t>
  </si>
  <si>
    <t>JYFT Solar Panel Cable Connectors Male/Female IP67 30A 1000V DC (1Pair)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</si>
</sst>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\-&quot;$&quot;#,##0.00"/>
    <numFmt numFmtId="165" formatCode="&quot;$&quot;#,##0.00"/>
    <numFmt numFmtId="166" formatCode="00000"/>
  </numFmts>
  <fonts count="20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Liberation Sans"/>
    </font>
    <font>
      <b/>
      <sz val="10"/>
      <color theme="1"/>
      <name val="Liberation Sans"/>
    </font>
    <font>
      <sz val="10"/>
      <color rgb="FF000000"/>
      <name val="Liberation Sans"/>
    </font>
    <font>
      <sz val="8"/>
      <name val="Calibri"/>
      <family val="2"/>
      <scheme val="minor"/>
    </font>
    <font>
      <sz val="24"/>
      <color theme="1"/>
      <name val="Calibri"/>
      <scheme val="minor"/>
    </font>
    <font>
      <sz val="24"/>
      <color rgb="FFFF0000"/>
      <name val="Calibri"/>
      <scheme val="minor"/>
    </font>
    <font>
      <u/>
      <sz val="12"/>
      <color theme="1"/>
      <name val="Calibri"/>
      <scheme val="minor"/>
    </font>
    <font>
      <sz val="12"/>
      <color rgb="FF000000"/>
      <name val="Calibri"/>
      <scheme val="minor"/>
    </font>
    <font>
      <sz val="18"/>
      <color theme="1"/>
      <name val="Calibri"/>
      <family val="2"/>
      <scheme val="minor"/>
    </font>
    <font>
      <u/>
      <sz val="18"/>
      <color theme="10"/>
      <name val="Calibri"/>
      <scheme val="minor"/>
    </font>
    <font>
      <sz val="12"/>
      <color rgb="FF000000"/>
      <name val="Calibri"/>
      <family val="2"/>
      <scheme val="minor"/>
    </font>
    <font>
      <sz val="36"/>
      <color theme="3"/>
      <name val="Calibri"/>
      <family val="2"/>
      <charset val="129"/>
      <scheme val="minor"/>
    </font>
    <font>
      <u/>
      <sz val="18"/>
      <color theme="10"/>
      <name val="Calibri"/>
      <family val="2"/>
      <scheme val="minor"/>
    </font>
    <font>
      <sz val="2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45">
    <xf numFmtId="0" fontId="0" fillId="0" borderId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right" vertical="center" wrapText="1"/>
    </xf>
    <xf numFmtId="164" fontId="6" fillId="0" borderId="1" xfId="0" applyNumberFormat="1" applyFont="1" applyBorder="1" applyAlignment="1">
      <alignment horizontal="righ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right" vertical="center" wrapText="1"/>
    </xf>
    <xf numFmtId="0" fontId="0" fillId="0" borderId="0" xfId="0" applyBorder="1"/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right" vertical="center" wrapText="1"/>
    </xf>
    <xf numFmtId="164" fontId="6" fillId="0" borderId="0" xfId="0" applyNumberFormat="1" applyFont="1" applyBorder="1" applyAlignment="1">
      <alignment horizontal="right" vertical="center" wrapText="1"/>
    </xf>
    <xf numFmtId="0" fontId="0" fillId="0" borderId="0" xfId="0" applyBorder="1" applyAlignment="1">
      <alignment wrapText="1"/>
    </xf>
    <xf numFmtId="0" fontId="8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right"/>
    </xf>
    <xf numFmtId="165" fontId="6" fillId="0" borderId="1" xfId="0" applyNumberFormat="1" applyFont="1" applyBorder="1" applyAlignment="1">
      <alignment horizontal="right" vertical="center" wrapText="1"/>
    </xf>
    <xf numFmtId="165" fontId="0" fillId="0" borderId="1" xfId="0" applyNumberFormat="1" applyBorder="1" applyAlignment="1">
      <alignment vertical="center"/>
    </xf>
    <xf numFmtId="0" fontId="6" fillId="0" borderId="2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165" fontId="6" fillId="0" borderId="2" xfId="0" applyNumberFormat="1" applyFont="1" applyBorder="1" applyAlignment="1">
      <alignment horizontal="left" vertical="center" wrapText="1"/>
    </xf>
    <xf numFmtId="165" fontId="6" fillId="0" borderId="2" xfId="0" applyNumberFormat="1" applyFont="1" applyBorder="1" applyAlignment="1">
      <alignment horizontal="right" vertical="center" wrapText="1"/>
    </xf>
    <xf numFmtId="0" fontId="6" fillId="0" borderId="2" xfId="0" applyNumberFormat="1" applyFont="1" applyBorder="1" applyAlignment="1">
      <alignment horizontal="right" vertical="center" wrapText="1"/>
    </xf>
    <xf numFmtId="0" fontId="6" fillId="0" borderId="2" xfId="0" applyFont="1" applyBorder="1" applyAlignment="1">
      <alignment horizontal="right" vertical="center" wrapText="1"/>
    </xf>
    <xf numFmtId="0" fontId="14" fillId="0" borderId="0" xfId="0" applyFont="1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3" fillId="0" borderId="0" xfId="0" applyFont="1"/>
    <xf numFmtId="0" fontId="0" fillId="0" borderId="0" xfId="0" applyBorder="1" applyAlignment="1">
      <alignment vertical="center"/>
    </xf>
    <xf numFmtId="0" fontId="14" fillId="0" borderId="0" xfId="0" applyFont="1" applyBorder="1" applyAlignment="1">
      <alignment horizontal="right" vertical="center"/>
    </xf>
    <xf numFmtId="166" fontId="15" fillId="0" borderId="0" xfId="440" applyNumberFormat="1" applyFont="1" applyBorder="1" applyAlignment="1">
      <alignment vertical="center"/>
    </xf>
    <xf numFmtId="0" fontId="0" fillId="0" borderId="0" xfId="0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2" borderId="1" xfId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1" xfId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right" vertical="center" wrapText="1"/>
    </xf>
    <xf numFmtId="164" fontId="6" fillId="0" borderId="4" xfId="0" applyNumberFormat="1" applyFont="1" applyBorder="1" applyAlignment="1">
      <alignment horizontal="right" vertical="center" wrapText="1"/>
    </xf>
    <xf numFmtId="164" fontId="6" fillId="0" borderId="5" xfId="0" applyNumberFormat="1" applyFont="1" applyBorder="1" applyAlignment="1">
      <alignment horizontal="righ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16" fillId="0" borderId="1" xfId="0" applyFont="1" applyBorder="1" applyAlignment="1">
      <alignment vertical="center"/>
    </xf>
    <xf numFmtId="0" fontId="17" fillId="0" borderId="0" xfId="0" applyFont="1" applyBorder="1" applyAlignment="1">
      <alignment horizontal="left"/>
    </xf>
    <xf numFmtId="0" fontId="18" fillId="0" borderId="0" xfId="440" applyFont="1" applyBorder="1" applyAlignment="1">
      <alignment vertical="center"/>
    </xf>
    <xf numFmtId="0" fontId="4" fillId="0" borderId="0" xfId="440" applyBorder="1"/>
    <xf numFmtId="0" fontId="1" fillId="0" borderId="2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</cellXfs>
  <cellStyles count="44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/>
    <cellStyle name="Normal" xfId="0" builtinId="0"/>
  </cellStyles>
  <dxfs count="1">
    <dxf>
      <font>
        <color rgb="FF9C0006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12"/>
  <sheetViews>
    <sheetView tabSelected="1" topLeftCell="A17" zoomScale="130" zoomScaleNormal="130" zoomScalePageLayoutView="150" workbookViewId="0">
      <selection activeCell="F47" sqref="F47"/>
    </sheetView>
  </sheetViews>
  <sheetFormatPr baseColWidth="10" defaultRowHeight="16"/>
  <cols>
    <col min="1" max="1" width="1.5" style="7" customWidth="1"/>
    <col min="2" max="2" width="3.5" style="7" customWidth="1"/>
    <col min="3" max="3" width="40.6640625" style="7" customWidth="1"/>
    <col min="4" max="4" width="8.5" style="7" customWidth="1"/>
    <col min="5" max="5" width="16.83203125" style="7" customWidth="1"/>
    <col min="6" max="6" width="9" style="7" customWidth="1"/>
    <col min="7" max="7" width="11" style="7" customWidth="1"/>
    <col min="8" max="8" width="13.1640625" style="7" customWidth="1"/>
    <col min="9" max="9" width="49.6640625" style="7" customWidth="1"/>
    <col min="10" max="10" width="14" style="7" hidden="1" customWidth="1"/>
    <col min="11" max="11" width="0" style="7" hidden="1" customWidth="1"/>
    <col min="12" max="13" width="10.83203125" style="7" hidden="1" customWidth="1"/>
    <col min="14" max="14" width="0" style="7" hidden="1" customWidth="1"/>
    <col min="15" max="16384" width="10.83203125" style="7"/>
  </cols>
  <sheetData>
    <row r="1" spans="1:14" ht="27" customHeight="1">
      <c r="A1" s="39" t="s">
        <v>62</v>
      </c>
      <c r="B1" s="40"/>
      <c r="C1" s="40"/>
      <c r="D1" s="40"/>
      <c r="E1" s="40"/>
      <c r="F1" s="40"/>
      <c r="G1" s="40"/>
      <c r="H1" s="40"/>
      <c r="I1" s="40"/>
      <c r="M1" s="20"/>
    </row>
    <row r="2" spans="1:14" ht="44" customHeight="1">
      <c r="A2" s="18"/>
      <c r="B2" s="19"/>
      <c r="C2" s="21" t="s">
        <v>67</v>
      </c>
      <c r="D2" s="22" t="s">
        <v>68</v>
      </c>
      <c r="E2" s="19"/>
      <c r="F2" s="19"/>
      <c r="G2" s="19"/>
      <c r="H2" s="19"/>
      <c r="I2" s="19"/>
      <c r="M2" s="20"/>
    </row>
    <row r="3" spans="1:14" ht="47">
      <c r="A3" s="18"/>
      <c r="B3" s="19"/>
      <c r="C3" s="58" t="s">
        <v>63</v>
      </c>
      <c r="D3" s="23" t="s">
        <v>65</v>
      </c>
      <c r="E3" s="54" t="str">
        <f>IF(AND($C$3="PV cell",$D$3="FET"),"  **INVALID COMBINATION**","")</f>
        <v/>
      </c>
      <c r="F3" s="19"/>
      <c r="G3" s="19"/>
      <c r="H3" s="19"/>
      <c r="I3" s="19"/>
      <c r="J3" s="7" t="s">
        <v>63</v>
      </c>
      <c r="K3" s="7" t="s">
        <v>64</v>
      </c>
      <c r="L3" s="7" t="s">
        <v>65</v>
      </c>
      <c r="M3" s="20" t="s">
        <v>66</v>
      </c>
      <c r="N3" s="20" t="s">
        <v>99</v>
      </c>
    </row>
    <row r="4" spans="1:14" s="35" customFormat="1" ht="28">
      <c r="C4" s="36" t="s">
        <v>0</v>
      </c>
      <c r="D4" s="36" t="s">
        <v>1</v>
      </c>
      <c r="E4" s="36" t="s">
        <v>88</v>
      </c>
      <c r="F4" s="36" t="s">
        <v>2</v>
      </c>
      <c r="G4" s="36" t="s">
        <v>3</v>
      </c>
      <c r="H4" s="36" t="s">
        <v>58</v>
      </c>
      <c r="I4" s="37" t="s">
        <v>9</v>
      </c>
    </row>
    <row r="5" spans="1:14">
      <c r="C5" s="41" t="s">
        <v>35</v>
      </c>
      <c r="D5" s="41"/>
      <c r="E5" s="41"/>
      <c r="F5" s="41"/>
      <c r="G5" s="41"/>
      <c r="H5" s="41"/>
      <c r="I5" s="41"/>
    </row>
    <row r="6" spans="1:14">
      <c r="B6" s="1"/>
      <c r="C6" s="17" t="s">
        <v>37</v>
      </c>
      <c r="D6" s="3">
        <v>1</v>
      </c>
      <c r="E6" s="3" t="s">
        <v>38</v>
      </c>
      <c r="F6" s="43">
        <v>1.5</v>
      </c>
      <c r="G6" s="43">
        <v>1.5</v>
      </c>
      <c r="H6" s="46" t="s">
        <v>13</v>
      </c>
      <c r="I6" s="49" t="str">
        <f>IF(OR(AND($C$3="PV cell",$D$3="SSR"),AND($C$3="PV module",$D$3="FET")),"Purchased as a kit of all four. Note, however, that A4 is not needed.  Digi-Key PN: 1568-1413-ND","Purchased as a kit of all four. Note, however, that A4 is not needed at all, and A1 can be 8-pin instead of 10-pin (pins 9 and 10 are not used).  Digi-Key PN: 1568-1413-ND")</f>
        <v>Purchased as a kit of all four. Note, however, that A4 is not needed at all, and A1 can be 8-pin instead of 10-pin (pins 9 and 10 are not used).  Digi-Key PN: 1568-1413-ND</v>
      </c>
    </row>
    <row r="7" spans="1:14">
      <c r="B7" s="1"/>
      <c r="C7" s="17" t="s">
        <v>39</v>
      </c>
      <c r="D7" s="3">
        <v>2</v>
      </c>
      <c r="E7" s="3" t="s">
        <v>40</v>
      </c>
      <c r="F7" s="44"/>
      <c r="G7" s="44"/>
      <c r="H7" s="47"/>
      <c r="I7" s="50"/>
    </row>
    <row r="8" spans="1:14">
      <c r="B8" s="1"/>
      <c r="C8" s="17" t="s">
        <v>41</v>
      </c>
      <c r="D8" s="3">
        <v>0</v>
      </c>
      <c r="E8" s="3" t="s">
        <v>42</v>
      </c>
      <c r="F8" s="45"/>
      <c r="G8" s="45"/>
      <c r="H8" s="48"/>
      <c r="I8" s="51"/>
    </row>
    <row r="9" spans="1:14">
      <c r="B9" s="1"/>
      <c r="C9" s="17" t="str">
        <f>IF($C$3="PV module","1000µF 100V capacitors","22000µF 6.3V capacitors")</f>
        <v>1000µF 100V capacitors</v>
      </c>
      <c r="D9" s="3">
        <v>2</v>
      </c>
      <c r="E9" s="3" t="s">
        <v>43</v>
      </c>
      <c r="F9" s="25">
        <f>IF($C$3="PV module",3.77,2.55)</f>
        <v>3.77</v>
      </c>
      <c r="G9" s="4">
        <f t="shared" ref="G9:G13" si="0">D9*F9</f>
        <v>7.54</v>
      </c>
      <c r="H9" s="2" t="s">
        <v>13</v>
      </c>
      <c r="I9" s="24" t="str">
        <f>IF($C$3="PV module","Digi-Key PN: 1572-1313-ND","Digi-Key PN: 493-12454-ND")</f>
        <v>Digi-Key PN: 1572-1313-ND</v>
      </c>
    </row>
    <row r="10" spans="1:14" ht="17">
      <c r="B10" s="1"/>
      <c r="C10" s="2" t="s">
        <v>29</v>
      </c>
      <c r="D10" s="3">
        <v>2</v>
      </c>
      <c r="E10" s="3" t="s">
        <v>44</v>
      </c>
      <c r="F10" s="15">
        <v>0.26</v>
      </c>
      <c r="G10" s="4">
        <f t="shared" si="0"/>
        <v>0.52</v>
      </c>
      <c r="H10" s="2" t="s">
        <v>13</v>
      </c>
      <c r="I10" s="29" t="s">
        <v>30</v>
      </c>
    </row>
    <row r="11" spans="1:14" ht="34">
      <c r="B11" s="1"/>
      <c r="C11" s="2" t="s">
        <v>31</v>
      </c>
      <c r="D11" s="3">
        <v>2</v>
      </c>
      <c r="E11" s="3" t="s">
        <v>45</v>
      </c>
      <c r="F11" s="15">
        <v>0.38</v>
      </c>
      <c r="G11" s="4">
        <f t="shared" si="0"/>
        <v>0.76</v>
      </c>
      <c r="H11" s="2" t="s">
        <v>13</v>
      </c>
      <c r="I11" s="29" t="s">
        <v>60</v>
      </c>
    </row>
    <row r="12" spans="1:14" ht="51">
      <c r="B12" s="1"/>
      <c r="C12" s="17" t="s">
        <v>47</v>
      </c>
      <c r="D12" s="3">
        <v>1</v>
      </c>
      <c r="E12" s="3" t="s">
        <v>46</v>
      </c>
      <c r="F12" s="4">
        <v>0.47</v>
      </c>
      <c r="G12" s="4">
        <f t="shared" si="0"/>
        <v>0.47</v>
      </c>
      <c r="H12" s="2" t="s">
        <v>13</v>
      </c>
      <c r="I12" s="29" t="s">
        <v>59</v>
      </c>
    </row>
    <row r="13" spans="1:14" ht="43" customHeight="1">
      <c r="B13" s="1"/>
      <c r="C13" s="24" t="str">
        <f>IF(AND($C$3="PV module",$D$3="EMR"),"2-pin or 3-pin screw-terminal block","2-pin screw-terminal block")</f>
        <v>2-pin or 3-pin screw-terminal block</v>
      </c>
      <c r="D13" s="26">
        <f>IF($D$3="EMR",2,IF($C$3="PV module",1,2))</f>
        <v>2</v>
      </c>
      <c r="E13" s="3" t="str">
        <f>IF($D$13=1,"J1","J1, J2")</f>
        <v>J1, J2</v>
      </c>
      <c r="F13" s="4">
        <v>0.99</v>
      </c>
      <c r="G13" s="4">
        <f t="shared" si="0"/>
        <v>1.98</v>
      </c>
      <c r="H13" s="2" t="s">
        <v>13</v>
      </c>
      <c r="I13" s="24" t="str">
        <f>IF(AND($C$3="PV module",$D$3="EMR"),"Can 'steal' 3-pin screw-terminal blocks from spare relay modules. Otherwise, can use 2-pin. Digi-Key PN: A97996-ND","Digi-Key PN: A97996-ND")</f>
        <v>Can 'steal' 3-pin screw-terminal blocks from spare relay modules. Otherwise, can use 2-pin. Digi-Key PN: A97996-ND</v>
      </c>
    </row>
    <row r="14" spans="1:14" ht="34">
      <c r="B14" s="1"/>
      <c r="C14" s="2" t="s">
        <v>27</v>
      </c>
      <c r="D14" s="3">
        <v>2</v>
      </c>
      <c r="E14" s="3" t="s">
        <v>49</v>
      </c>
      <c r="F14" s="4">
        <v>0.45</v>
      </c>
      <c r="G14" s="4">
        <f t="shared" ref="G14" si="1">D14*F14</f>
        <v>0.9</v>
      </c>
      <c r="H14" s="2" t="s">
        <v>13</v>
      </c>
      <c r="I14" s="29" t="s">
        <v>76</v>
      </c>
    </row>
    <row r="15" spans="1:14" ht="17">
      <c r="B15" s="1"/>
      <c r="C15" s="2" t="s">
        <v>17</v>
      </c>
      <c r="D15" s="3">
        <v>1</v>
      </c>
      <c r="E15" s="3" t="s">
        <v>48</v>
      </c>
      <c r="F15" s="4">
        <v>3.77</v>
      </c>
      <c r="G15" s="4">
        <f>D15*F15</f>
        <v>3.77</v>
      </c>
      <c r="H15" s="2" t="s">
        <v>13</v>
      </c>
      <c r="I15" s="29" t="s">
        <v>25</v>
      </c>
    </row>
    <row r="16" spans="1:14" ht="17">
      <c r="B16" s="1"/>
      <c r="C16" s="2" t="s">
        <v>5</v>
      </c>
      <c r="D16" s="3">
        <v>1</v>
      </c>
      <c r="E16" s="3" t="s">
        <v>50</v>
      </c>
      <c r="F16" s="4">
        <v>2.82</v>
      </c>
      <c r="G16" s="4">
        <f t="shared" ref="G16:G19" si="2">D16*F16</f>
        <v>2.82</v>
      </c>
      <c r="H16" s="2" t="s">
        <v>13</v>
      </c>
      <c r="I16" s="29" t="s">
        <v>26</v>
      </c>
    </row>
    <row r="17" spans="2:9" ht="17">
      <c r="B17" s="1"/>
      <c r="C17" s="17" t="str">
        <f>IF($C$3="PV module","150kΩ resistor - 1/4W","Not present in cell version")</f>
        <v>150kΩ resistor - 1/4W</v>
      </c>
      <c r="D17" s="26">
        <f>IF($C$3="PV module",1,0)</f>
        <v>1</v>
      </c>
      <c r="E17" s="3" t="s">
        <v>51</v>
      </c>
      <c r="F17" s="15">
        <f>9.99/1280</f>
        <v>7.8046875E-3</v>
      </c>
      <c r="G17" s="4">
        <f t="shared" si="2"/>
        <v>7.8046875E-3</v>
      </c>
      <c r="H17" s="2" t="s">
        <v>4</v>
      </c>
      <c r="I17" s="29" t="s">
        <v>10</v>
      </c>
    </row>
    <row r="18" spans="2:9" ht="17">
      <c r="B18" s="1"/>
      <c r="C18" s="17" t="str">
        <f>IF($C$3="PV module","7.5kΩ resistor - 1/4W","Not present in cell version")</f>
        <v>7.5kΩ resistor - 1/4W</v>
      </c>
      <c r="D18" s="26">
        <f>IF($C$3="PV module",1,0)</f>
        <v>1</v>
      </c>
      <c r="E18" s="3" t="s">
        <v>52</v>
      </c>
      <c r="F18" s="15">
        <f t="shared" ref="F18:F23" si="3">9.59/1280</f>
        <v>7.4921874999999997E-3</v>
      </c>
      <c r="G18" s="4">
        <f t="shared" si="2"/>
        <v>7.4921874999999997E-3</v>
      </c>
      <c r="H18" s="2" t="s">
        <v>4</v>
      </c>
      <c r="I18" s="29" t="s">
        <v>10</v>
      </c>
    </row>
    <row r="19" spans="2:9" ht="17">
      <c r="B19" s="1"/>
      <c r="C19" s="2" t="s">
        <v>8</v>
      </c>
      <c r="D19" s="3">
        <v>3</v>
      </c>
      <c r="E19" s="3" t="s">
        <v>53</v>
      </c>
      <c r="F19" s="15">
        <f t="shared" si="3"/>
        <v>7.4921874999999997E-3</v>
      </c>
      <c r="G19" s="4">
        <f t="shared" si="2"/>
        <v>2.2476562499999998E-2</v>
      </c>
      <c r="H19" s="2" t="s">
        <v>4</v>
      </c>
      <c r="I19" s="29" t="s">
        <v>18</v>
      </c>
    </row>
    <row r="20" spans="2:9" ht="17">
      <c r="B20" s="1"/>
      <c r="C20" s="2" t="s">
        <v>19</v>
      </c>
      <c r="D20" s="26">
        <f>IF(OR($D$3="SSR",$D$3="FET"),1,IF($C$3="PV module",2,3))</f>
        <v>2</v>
      </c>
      <c r="E20" s="26" t="str">
        <f>IF(OR($D$3="SSR",$D$3="FET"),"R5",IF($C$3="PV module","R5,R6","R5,R6,R7"))</f>
        <v>R5,R6</v>
      </c>
      <c r="F20" s="15">
        <f t="shared" si="3"/>
        <v>7.4921874999999997E-3</v>
      </c>
      <c r="G20" s="4">
        <f t="shared" ref="G20:G23" si="4">D20*F20</f>
        <v>1.4984374999999999E-2</v>
      </c>
      <c r="H20" s="2" t="s">
        <v>4</v>
      </c>
      <c r="I20" s="29" t="s">
        <v>20</v>
      </c>
    </row>
    <row r="21" spans="2:9" ht="17" customHeight="1">
      <c r="B21" s="1"/>
      <c r="C21" s="17" t="str">
        <f>IF($D$3="SSR","180Ω resistor - 1/4W",IF($D$3="FET","390Ω resistor - 1/4W","Not present in EMR version"))</f>
        <v>Not present in EMR version</v>
      </c>
      <c r="D21" s="26">
        <f>IF($D$3="EMR",0,IF($D$3="FET",1,IF($C$3="PV module",3,4)))</f>
        <v>0</v>
      </c>
      <c r="E21" s="26" t="str">
        <f>IF($D$3="EMR","R7-R11",IF($D$3="FET","R6",IF($C$3="PV module","R6, R7, R8","R6, R9, R10, R11")))</f>
        <v>R7-R11</v>
      </c>
      <c r="F21" s="15">
        <f t="shared" si="3"/>
        <v>7.4921874999999997E-3</v>
      </c>
      <c r="G21" s="4">
        <f t="shared" ref="G21" si="5">D21*F21</f>
        <v>0</v>
      </c>
      <c r="H21" s="2" t="s">
        <v>4</v>
      </c>
      <c r="I21" s="29" t="str">
        <f>IF($D$3="FET","FET gate driver pull up","SSR pull up/downs")</f>
        <v>SSR pull up/downs</v>
      </c>
    </row>
    <row r="22" spans="2:9" ht="17">
      <c r="B22" s="1"/>
      <c r="C22" s="2" t="s">
        <v>16</v>
      </c>
      <c r="D22" s="3">
        <v>1</v>
      </c>
      <c r="E22" s="3" t="s">
        <v>54</v>
      </c>
      <c r="F22" s="15">
        <f t="shared" si="3"/>
        <v>7.4921874999999997E-3</v>
      </c>
      <c r="G22" s="4">
        <f t="shared" ref="G22" si="6">D22*F22</f>
        <v>7.4921874999999997E-3</v>
      </c>
      <c r="H22" s="2" t="s">
        <v>4</v>
      </c>
      <c r="I22" s="29" t="s">
        <v>11</v>
      </c>
    </row>
    <row r="23" spans="2:9" ht="17">
      <c r="B23" s="1"/>
      <c r="C23" s="17" t="str">
        <f>IF($C$3="PV module","Not present in module version","680kΩ resistor - 1/4W")</f>
        <v>Not present in module version</v>
      </c>
      <c r="D23" s="26">
        <f>IF($C$3="PV module",0,1)</f>
        <v>0</v>
      </c>
      <c r="E23" s="3" t="s">
        <v>69</v>
      </c>
      <c r="F23" s="15">
        <f t="shared" si="3"/>
        <v>7.4921874999999997E-3</v>
      </c>
      <c r="G23" s="4">
        <f t="shared" si="4"/>
        <v>0</v>
      </c>
      <c r="H23" s="2" t="s">
        <v>4</v>
      </c>
      <c r="I23" s="29" t="s">
        <v>11</v>
      </c>
    </row>
    <row r="24" spans="2:9" ht="51">
      <c r="B24" s="1"/>
      <c r="C24" s="17" t="str">
        <f>IF($C$3="PV module","47Ω 5W resistor","Not present in cell version")</f>
        <v>47Ω 5W resistor</v>
      </c>
      <c r="D24" s="26">
        <f>IF($C$3="PV module",1,0)</f>
        <v>1</v>
      </c>
      <c r="E24" s="3" t="s">
        <v>55</v>
      </c>
      <c r="F24" s="4">
        <v>0.78</v>
      </c>
      <c r="G24" s="4">
        <f t="shared" ref="G24:G31" si="7">D24*F24</f>
        <v>0.78</v>
      </c>
      <c r="H24" s="2" t="s">
        <v>13</v>
      </c>
      <c r="I24" s="29" t="s">
        <v>23</v>
      </c>
    </row>
    <row r="25" spans="2:9" ht="17">
      <c r="B25" s="1"/>
      <c r="C25" s="2" t="s">
        <v>14</v>
      </c>
      <c r="D25" s="3">
        <v>1</v>
      </c>
      <c r="E25" s="3" t="s">
        <v>56</v>
      </c>
      <c r="F25" s="4">
        <v>3.04</v>
      </c>
      <c r="G25" s="4">
        <f t="shared" si="7"/>
        <v>3.04</v>
      </c>
      <c r="H25" s="2" t="s">
        <v>13</v>
      </c>
      <c r="I25" s="29" t="s">
        <v>104</v>
      </c>
    </row>
    <row r="26" spans="2:9">
      <c r="B26" s="1"/>
      <c r="C26" s="17" t="str">
        <f>IF($C$3="PV module","Not present in module version","2-pin header")</f>
        <v>Not present in module version</v>
      </c>
      <c r="D26" s="26">
        <f>IF($C$3="PV module",0,1)</f>
        <v>0</v>
      </c>
      <c r="E26" s="3" t="s">
        <v>70</v>
      </c>
      <c r="F26" s="4">
        <v>0.13</v>
      </c>
      <c r="G26" s="4">
        <f t="shared" si="7"/>
        <v>0</v>
      </c>
      <c r="H26" s="2" t="s">
        <v>13</v>
      </c>
      <c r="I26" s="53" t="s">
        <v>71</v>
      </c>
    </row>
    <row r="27" spans="2:9">
      <c r="B27" s="1"/>
      <c r="C27" s="17" t="str">
        <f>IF($C$3="PV module","Not present in module version","2-pin jumper")</f>
        <v>Not present in module version</v>
      </c>
      <c r="D27" s="26">
        <f>IF($C$3="PV module",0,1)</f>
        <v>0</v>
      </c>
      <c r="E27" s="3" t="s">
        <v>70</v>
      </c>
      <c r="F27" s="4">
        <v>0.1</v>
      </c>
      <c r="G27" s="4">
        <f t="shared" si="7"/>
        <v>0</v>
      </c>
      <c r="H27" s="2" t="s">
        <v>13</v>
      </c>
      <c r="I27" s="53" t="s">
        <v>72</v>
      </c>
    </row>
    <row r="28" spans="2:9">
      <c r="B28" s="1"/>
      <c r="C28" s="17" t="str">
        <f>IF($C$3="PV module","Not present in module version","x1 DIP switch")</f>
        <v>Not present in module version</v>
      </c>
      <c r="D28" s="26">
        <f>IF($C$3="PV module",0,1)</f>
        <v>0</v>
      </c>
      <c r="E28" s="3" t="s">
        <v>73</v>
      </c>
      <c r="F28" s="4">
        <v>0.91</v>
      </c>
      <c r="G28" s="4">
        <f t="shared" si="7"/>
        <v>0</v>
      </c>
      <c r="H28" s="2" t="s">
        <v>13</v>
      </c>
      <c r="I28" s="53" t="s">
        <v>74</v>
      </c>
    </row>
    <row r="29" spans="2:9" ht="35" customHeight="1">
      <c r="B29" s="1"/>
      <c r="C29" s="17" t="str">
        <f>IF($D$3="SSR","CPC1718J","Not present in EMR or FET version")</f>
        <v>Not present in EMR or FET version</v>
      </c>
      <c r="D29" s="26">
        <f>IF(OR($D$3="EMR",$D$3="FET"),0,IF($C$3="PV module",3,4))</f>
        <v>0</v>
      </c>
      <c r="E29" s="26" t="str">
        <f>IF($D$3="EMR","SSR1-SSR6",IF($C$3="PV module","SSR1, SSR2, SSR3","SSR1, SSR4, SSR5, SSR6"))</f>
        <v>SSR1-SSR6</v>
      </c>
      <c r="F29" s="15">
        <v>7</v>
      </c>
      <c r="G29" s="4">
        <f t="shared" si="7"/>
        <v>0</v>
      </c>
      <c r="H29" s="2" t="s">
        <v>13</v>
      </c>
      <c r="I29" s="29" t="s">
        <v>80</v>
      </c>
    </row>
    <row r="30" spans="2:9" ht="35" customHeight="1">
      <c r="B30" s="1"/>
      <c r="C30" s="17" t="str">
        <f>IF($D$3="FET","FET - IRF540","Not present in EMR or SSR version")</f>
        <v>Not present in EMR or SSR version</v>
      </c>
      <c r="D30" s="26">
        <f>IF($D$3="FET",3,0)</f>
        <v>0</v>
      </c>
      <c r="E30" s="26" t="s">
        <v>100</v>
      </c>
      <c r="F30" s="25">
        <v>1.23</v>
      </c>
      <c r="G30" s="4">
        <f t="shared" si="7"/>
        <v>0</v>
      </c>
      <c r="H30" s="2" t="s">
        <v>13</v>
      </c>
      <c r="I30" s="29" t="s">
        <v>102</v>
      </c>
    </row>
    <row r="31" spans="2:9" ht="35" customHeight="1">
      <c r="B31" s="1"/>
      <c r="C31" s="17" t="str">
        <f>IF($D$3="FET","FET gate driver - CPC1596","Not present in EMR or SSR version")</f>
        <v>Not present in EMR or SSR version</v>
      </c>
      <c r="D31" s="26">
        <f>IF($D$3="FET",1,0)</f>
        <v>0</v>
      </c>
      <c r="E31" s="26" t="s">
        <v>101</v>
      </c>
      <c r="F31" s="25">
        <v>2.78</v>
      </c>
      <c r="G31" s="4">
        <f t="shared" si="7"/>
        <v>0</v>
      </c>
      <c r="H31" s="2" t="s">
        <v>13</v>
      </c>
      <c r="I31" s="52" t="s">
        <v>103</v>
      </c>
    </row>
    <row r="32" spans="2:9" ht="68" customHeight="1">
      <c r="B32" s="1"/>
      <c r="C32" s="17" t="str">
        <f>IF($C$3="PV module","15SQ100 Schottky bypass diode (100V)","15SQ045 Schottky bypass diode(45V)")</f>
        <v>15SQ100 Schottky bypass diode (100V)</v>
      </c>
      <c r="D32" s="3">
        <v>1</v>
      </c>
      <c r="E32" s="27" t="str">
        <f>IF(AND($C$3="PV module",$D$3&lt;&gt;"FET"),"D1,D4","D1,D2")</f>
        <v>D1,D4</v>
      </c>
      <c r="F32" s="25">
        <f>IF($C$3="PV module",0.84,0.8)</f>
        <v>0.84</v>
      </c>
      <c r="G32" s="4">
        <f t="shared" ref="G32" si="8">D32*F32</f>
        <v>0.84</v>
      </c>
      <c r="H32" s="2" t="s">
        <v>13</v>
      </c>
      <c r="I32" s="57" t="str">
        <f>IF($C$3="PV module",IF($D$3="FET","Reverse connection bypass diode. Connect between pads D1 and D2. Digi-Key PN: 1655-1355-1-ND","Reverse connection bypass diode. Connect between pads D1 and D4. Digi-Key PN: 1655-1355-1-ND"),"Reverse connection bypass diode. Connect between pads D1 and D2. Digi-Key PN: 1655-1354-1-ND")</f>
        <v>Reverse connection bypass diode. Connect between pads D1 and D4. Digi-Key PN: 1655-1355-1-ND</v>
      </c>
    </row>
    <row r="33" spans="2:9">
      <c r="C33" s="42"/>
      <c r="D33" s="42"/>
      <c r="E33" s="42"/>
      <c r="F33" s="42"/>
      <c r="G33" s="42"/>
      <c r="H33" s="42"/>
      <c r="I33" s="42"/>
    </row>
    <row r="34" spans="2:9">
      <c r="C34" s="38" t="s">
        <v>36</v>
      </c>
      <c r="D34" s="38"/>
      <c r="E34" s="38"/>
      <c r="F34" s="38"/>
      <c r="G34" s="38"/>
      <c r="H34" s="38"/>
      <c r="I34" s="38"/>
    </row>
    <row r="35" spans="2:9" ht="34">
      <c r="B35" s="1"/>
      <c r="C35" s="2" t="s">
        <v>15</v>
      </c>
      <c r="D35" s="3">
        <v>1</v>
      </c>
      <c r="E35" s="3" t="s">
        <v>89</v>
      </c>
      <c r="F35" s="4">
        <v>14.99</v>
      </c>
      <c r="G35" s="4">
        <f t="shared" ref="G35:G36" si="9">D35*F35</f>
        <v>14.99</v>
      </c>
      <c r="H35" s="2" t="s">
        <v>4</v>
      </c>
      <c r="I35" s="29" t="s">
        <v>34</v>
      </c>
    </row>
    <row r="36" spans="2:9">
      <c r="B36" s="1"/>
      <c r="C36" s="2" t="s">
        <v>21</v>
      </c>
      <c r="D36" s="3">
        <v>1</v>
      </c>
      <c r="E36" s="3" t="s">
        <v>98</v>
      </c>
      <c r="F36" s="4">
        <v>5</v>
      </c>
      <c r="G36" s="4">
        <f t="shared" si="9"/>
        <v>5</v>
      </c>
      <c r="H36" s="2" t="s">
        <v>22</v>
      </c>
      <c r="I36" s="29"/>
    </row>
    <row r="37" spans="2:9" ht="17">
      <c r="B37" s="1"/>
      <c r="C37" s="17" t="s">
        <v>12</v>
      </c>
      <c r="D37" s="26">
        <f>IF($C$3="PV module",1,2)</f>
        <v>1</v>
      </c>
      <c r="E37" s="3" t="s">
        <v>12</v>
      </c>
      <c r="F37" s="4">
        <v>4.09</v>
      </c>
      <c r="G37" s="4">
        <f>D37*F37</f>
        <v>4.09</v>
      </c>
      <c r="H37" s="2" t="s">
        <v>13</v>
      </c>
      <c r="I37" s="29" t="s">
        <v>24</v>
      </c>
    </row>
    <row r="38" spans="2:9" ht="55" customHeight="1">
      <c r="B38" s="1"/>
      <c r="C38" s="17" t="str">
        <f>IF(OR($D$3="SSR",$D$3="FET"),"Not present in SSR or FET version",IF($C$3="PV module","Relay module, active-low trigger","2-channel relay module, active low trigger"))</f>
        <v>Relay module, active-low trigger</v>
      </c>
      <c r="D38" s="26">
        <f>IF(OR($D$3="SSR",$D$3="FET"),0,1)</f>
        <v>1</v>
      </c>
      <c r="E38" s="3" t="s">
        <v>65</v>
      </c>
      <c r="F38" s="25">
        <f>IF($C$3="PV module",8.99/5,6.79)</f>
        <v>1.798</v>
      </c>
      <c r="G38" s="4">
        <f t="shared" ref="G38:G41" si="10">D38*F38</f>
        <v>1.798</v>
      </c>
      <c r="H38" s="2" t="s">
        <v>4</v>
      </c>
      <c r="I38" s="24" t="str">
        <f>IF($C$3="PV module","5V 1 Channel Relay Shield Module Optocoupler For PIC AVR DSP ARM Arduino TE213","SunFounder 2 Channel DC 5V Relay Module with Optocoupler Low Level Trigger Expansion Board for Arduino UNO R3 MEGA 2560 1280 DSP ARM PIC AVR STM32 Raspberry Pi")</f>
        <v>5V 1 Channel Relay Shield Module Optocoupler For PIC AVR DSP ARM Arduino TE213</v>
      </c>
    </row>
    <row r="39" spans="2:9" ht="47" customHeight="1">
      <c r="B39" s="1"/>
      <c r="C39" s="17" t="s">
        <v>57</v>
      </c>
      <c r="D39" s="3">
        <v>1</v>
      </c>
      <c r="E39" s="3" t="s">
        <v>90</v>
      </c>
      <c r="F39" s="4">
        <f>(4.9/5)*3</f>
        <v>2.9400000000000004</v>
      </c>
      <c r="G39" s="4">
        <f t="shared" si="10"/>
        <v>2.9400000000000004</v>
      </c>
      <c r="H39" s="2" t="s">
        <v>4</v>
      </c>
      <c r="I39" s="29" t="str">
        <f>IF($D$3="EMR","For load circuit wires: MC-4 to binding posts, binding posts to relay/PCB, relay to PCB. Scrap appliance cord is fine. Just want a heavier duty than hookup wire.","For load circuit wires: MC-4 to binding posts, binding posts to PCB. Scrap appliance cord is fine. Just want a heavier duty than hookup wire.")</f>
        <v>For load circuit wires: MC-4 to binding posts, binding posts to relay/PCB, relay to PCB. Scrap appliance cord is fine. Just want a heavier duty than hookup wire.</v>
      </c>
    </row>
    <row r="40" spans="2:9" ht="34">
      <c r="B40" s="1"/>
      <c r="C40" s="17" t="s">
        <v>28</v>
      </c>
      <c r="D40" s="26">
        <f>IF($C$3="PV module",2,IF($D$3="EMR",5,4))</f>
        <v>2</v>
      </c>
      <c r="E40" s="3" t="s">
        <v>91</v>
      </c>
      <c r="F40" s="4">
        <v>0.21</v>
      </c>
      <c r="G40" s="4">
        <f t="shared" si="10"/>
        <v>0.42</v>
      </c>
      <c r="H40" s="2" t="s">
        <v>13</v>
      </c>
      <c r="I40" s="29" t="s">
        <v>33</v>
      </c>
    </row>
    <row r="41" spans="2:9" ht="51">
      <c r="B41" s="1"/>
      <c r="C41" s="17" t="str">
        <f>IF(OR($D$3="SSR",$D$3="FET"),"Not present in SSR or FET version",IF($C$3="PV module","4 inch Male to Female jumpers (1 blue, 1 red, 1 black)","4 inch Male to Female jumpers (1 blue, 1 white, 1 red, 1 black)"))</f>
        <v>4 inch Male to Female jumpers (1 blue, 1 red, 1 black)</v>
      </c>
      <c r="D41" s="26">
        <f>IF(OR($D$3="SSR",$D$3="FET"),0,IF($C$3="PV module",3,4))</f>
        <v>3</v>
      </c>
      <c r="E41" s="3" t="s">
        <v>97</v>
      </c>
      <c r="F41" s="16">
        <f>5.99/80</f>
        <v>7.4874999999999997E-2</v>
      </c>
      <c r="G41" s="4">
        <f t="shared" si="10"/>
        <v>0.22462499999999999</v>
      </c>
      <c r="H41" s="2" t="s">
        <v>4</v>
      </c>
      <c r="I41" s="29" t="s">
        <v>61</v>
      </c>
    </row>
    <row r="42" spans="2:9">
      <c r="C42" s="42"/>
      <c r="D42" s="42"/>
      <c r="E42" s="42"/>
      <c r="F42" s="42"/>
      <c r="G42" s="42"/>
      <c r="H42" s="42"/>
      <c r="I42" s="42"/>
    </row>
    <row r="43" spans="2:9">
      <c r="C43" s="38" t="s">
        <v>7</v>
      </c>
      <c r="D43" s="38"/>
      <c r="E43" s="38"/>
      <c r="F43" s="38"/>
      <c r="G43" s="38"/>
      <c r="H43" s="38"/>
      <c r="I43" s="38"/>
    </row>
    <row r="44" spans="2:9" ht="17">
      <c r="B44" s="1"/>
      <c r="C44" s="2" t="s">
        <v>32</v>
      </c>
      <c r="D44" s="3">
        <v>1</v>
      </c>
      <c r="E44" s="3" t="s">
        <v>92</v>
      </c>
      <c r="F44" s="4">
        <v>5.99</v>
      </c>
      <c r="G44" s="4">
        <f>D44*F44</f>
        <v>5.99</v>
      </c>
      <c r="H44" s="2" t="s">
        <v>4</v>
      </c>
      <c r="I44" s="29" t="s">
        <v>83</v>
      </c>
    </row>
    <row r="45" spans="2:9" ht="51">
      <c r="B45" s="1"/>
      <c r="C45" s="2" t="s">
        <v>84</v>
      </c>
      <c r="D45" s="26">
        <f>IF($D$3="EMR",8,4)</f>
        <v>8</v>
      </c>
      <c r="E45" s="3" t="s">
        <v>93</v>
      </c>
      <c r="F45" s="4">
        <f>11.89/50</f>
        <v>0.23780000000000001</v>
      </c>
      <c r="G45" s="4">
        <f t="shared" ref="G45:G48" si="11">D45*F45</f>
        <v>1.9024000000000001</v>
      </c>
      <c r="H45" s="2" t="s">
        <v>4</v>
      </c>
      <c r="I45" s="29" t="s">
        <v>85</v>
      </c>
    </row>
    <row r="46" spans="2:9" ht="42">
      <c r="B46" s="1"/>
      <c r="C46" s="2" t="s">
        <v>82</v>
      </c>
      <c r="D46" s="26">
        <f>D45</f>
        <v>8</v>
      </c>
      <c r="E46" s="3" t="s">
        <v>94</v>
      </c>
      <c r="F46" s="4">
        <f>3.29/50</f>
        <v>6.5799999999999997E-2</v>
      </c>
      <c r="G46" s="4">
        <f t="shared" si="11"/>
        <v>0.52639999999999998</v>
      </c>
      <c r="H46" s="2" t="s">
        <v>4</v>
      </c>
      <c r="I46" s="2" t="s">
        <v>86</v>
      </c>
    </row>
    <row r="47" spans="2:9" ht="51">
      <c r="B47" s="1"/>
      <c r="C47" s="17" t="s">
        <v>81</v>
      </c>
      <c r="D47" s="26">
        <f>D45</f>
        <v>8</v>
      </c>
      <c r="E47" s="3" t="s">
        <v>95</v>
      </c>
      <c r="F47" s="4">
        <f>6.29/100</f>
        <v>6.2899999999999998E-2</v>
      </c>
      <c r="G47" s="4">
        <f t="shared" si="11"/>
        <v>0.50319999999999998</v>
      </c>
      <c r="H47" s="2" t="s">
        <v>4</v>
      </c>
      <c r="I47" s="29" t="s">
        <v>87</v>
      </c>
    </row>
    <row r="48" spans="2:9" ht="34">
      <c r="B48" s="1"/>
      <c r="C48" s="17" t="str">
        <f>IF($C$3="PV module","MC-4 connector (male/female pair)","Not needed for cell version")</f>
        <v>MC-4 connector (male/female pair)</v>
      </c>
      <c r="D48" s="3">
        <f>IF($C$3="PV module",1,0)</f>
        <v>1</v>
      </c>
      <c r="E48" s="3" t="s">
        <v>96</v>
      </c>
      <c r="F48" s="4">
        <f>4.99</f>
        <v>4.99</v>
      </c>
      <c r="G48" s="4">
        <f t="shared" si="11"/>
        <v>4.99</v>
      </c>
      <c r="H48" s="2" t="s">
        <v>4</v>
      </c>
      <c r="I48" s="29" t="s">
        <v>108</v>
      </c>
    </row>
    <row r="49" spans="2:9">
      <c r="C49" s="8"/>
      <c r="D49" s="9"/>
      <c r="E49" s="9"/>
      <c r="F49" s="10"/>
      <c r="G49" s="10"/>
      <c r="H49" s="8"/>
      <c r="I49" s="30"/>
    </row>
    <row r="50" spans="2:9">
      <c r="C50" s="38" t="s">
        <v>77</v>
      </c>
      <c r="D50" s="38"/>
      <c r="E50" s="38"/>
      <c r="F50" s="38"/>
      <c r="G50" s="38"/>
      <c r="H50" s="38"/>
      <c r="I50" s="38"/>
    </row>
    <row r="51" spans="2:9">
      <c r="B51" s="1"/>
      <c r="C51" s="2" t="str">
        <f>IF($C$3="PV module","Not present in module version","D-cell battery holders")</f>
        <v>Not present in module version</v>
      </c>
      <c r="D51" s="26">
        <f>IF($C$3="PV module",0,2)</f>
        <v>0</v>
      </c>
      <c r="E51" s="3"/>
      <c r="F51" s="4">
        <v>3.14</v>
      </c>
      <c r="G51" s="4">
        <f>D51*F51</f>
        <v>0</v>
      </c>
      <c r="H51" s="2" t="s">
        <v>13</v>
      </c>
      <c r="I51" s="31" t="s">
        <v>78</v>
      </c>
    </row>
    <row r="52" spans="2:9" ht="17">
      <c r="B52" s="1"/>
      <c r="C52" s="2" t="str">
        <f>IF($C$3="PV module","Not present in module version","4-pack of D-cells")</f>
        <v>Not present in module version</v>
      </c>
      <c r="D52" s="26">
        <f>IF($C$3="PV module",0,1)</f>
        <v>0</v>
      </c>
      <c r="E52" s="3"/>
      <c r="F52" s="4">
        <v>7.98</v>
      </c>
      <c r="G52" s="4">
        <f t="shared" ref="G52" si="12">D52*F52</f>
        <v>0</v>
      </c>
      <c r="H52" s="2" t="s">
        <v>4</v>
      </c>
      <c r="I52" s="29" t="s">
        <v>79</v>
      </c>
    </row>
    <row r="53" spans="2:9">
      <c r="C53" s="5" t="s">
        <v>6</v>
      </c>
      <c r="D53" s="8"/>
      <c r="E53" s="8"/>
      <c r="F53" s="8"/>
      <c r="G53" s="10">
        <f>SUM(G$6:G48)</f>
        <v>68.354875000000007</v>
      </c>
      <c r="H53" s="8"/>
      <c r="I53" s="11"/>
    </row>
    <row r="54" spans="2:9" s="32" customFormat="1" ht="19" customHeight="1">
      <c r="C54" s="33" t="s">
        <v>106</v>
      </c>
      <c r="D54" s="34" t="str">
        <f>HYPERLINK(IF($C$3="PV module",IF($D$3="EMR","http://a.co/eATZzyu","http://a.co/gWW20Gs"), IF($D$3="EMR","http://a.co/aBTNpsT","http://a.co/cGEBoCO")))</f>
        <v>http://a.co/eATZzyu</v>
      </c>
      <c r="I54" s="30"/>
    </row>
    <row r="55" spans="2:9" s="32" customFormat="1" ht="34">
      <c r="C55" s="28" t="s">
        <v>75</v>
      </c>
      <c r="D55" s="55" t="str">
        <f>HYPERLINK(IF($C$3="PV module",IF($D$3="EMR","https://www.digikey.com/short/p8m7zfhr",IF($D$3="SSR","https://www.digikey.com/short/87v1995h","https://www.digikey.com/short/ht39543z")),IF($D$3="EMR","https://www.digikey.com/short/7d09z2nm","https://www.digikey.com/short/9r854mh9")))</f>
        <v>https://www.digikey.com/short/p8m7zfhr</v>
      </c>
      <c r="I55" s="30" t="s">
        <v>105</v>
      </c>
    </row>
    <row r="56" spans="2:9" ht="25">
      <c r="C56" s="28" t="s">
        <v>107</v>
      </c>
      <c r="D56" s="56" t="str">
        <f>HYPERLINK(IF($C$3="PV module",IF($D$3="EMR","https://raw.githubusercontent.com/csatt/IV_Swinger/master/PCB/BOM/DigiKeyMouser/emr_mod_DigiKey_Mouser.csv",IF($D$3="SSR","https://raw.githubusercontent.com/csatt/IV_Swinger/master/PCB/BOM/DigiKeyMouser/ssr_mod_DigiKey_Mouser.csv","https://raw.githubusercontent.com/csatt/IV_Swinger/master/PCB/BOM/DigiKeyMouser/fet_mod_DigiKey_Mouser.csv")),IF($D$3="EMR","https://raw.githubusercontent.com/csatt/IV_Swinger/master/PCB/BOM/DigiKeyMouser/emr_cell_DigiKey_Mouser.csv","https://raw.githubusercontent.com/csatt/IV_Swinger/master/PCB/BOM/DigiKeyMouser/ssr_cell_DigiKey_Mouser.csv")))</f>
        <v>https://raw.githubusercontent.com/csatt/IV_Swinger/master/PCB/BOM/DigiKeyMouser/emr_mod_DigiKey_Mouser.csv</v>
      </c>
    </row>
    <row r="57" spans="2:9">
      <c r="C57" s="9"/>
      <c r="I57" s="11"/>
    </row>
    <row r="58" spans="2:9">
      <c r="C58" s="9"/>
      <c r="I58" s="11"/>
    </row>
    <row r="59" spans="2:9">
      <c r="C59" s="12"/>
      <c r="I59" s="11"/>
    </row>
    <row r="60" spans="2:9">
      <c r="C60" s="9"/>
      <c r="I60" s="11"/>
    </row>
    <row r="61" spans="2:9">
      <c r="C61" s="9"/>
      <c r="I61" s="11"/>
    </row>
    <row r="62" spans="2:9">
      <c r="C62" s="12"/>
      <c r="I62" s="11"/>
    </row>
    <row r="63" spans="2:9">
      <c r="C63" s="12"/>
      <c r="I63" s="11"/>
    </row>
    <row r="64" spans="2:9">
      <c r="C64" s="12"/>
      <c r="I64" s="11"/>
    </row>
    <row r="65" spans="3:9">
      <c r="C65" s="9"/>
      <c r="I65" s="11"/>
    </row>
    <row r="66" spans="3:9">
      <c r="C66" s="9"/>
      <c r="I66" s="11"/>
    </row>
    <row r="67" spans="3:9">
      <c r="C67" s="9"/>
      <c r="I67" s="11"/>
    </row>
    <row r="68" spans="3:9">
      <c r="C68" s="6"/>
      <c r="I68" s="11"/>
    </row>
    <row r="69" spans="3:9">
      <c r="C69" s="9"/>
      <c r="I69" s="11"/>
    </row>
    <row r="70" spans="3:9">
      <c r="C70" s="9"/>
      <c r="I70" s="11"/>
    </row>
    <row r="71" spans="3:9" ht="20" customHeight="1">
      <c r="C71" s="9"/>
      <c r="I71" s="11"/>
    </row>
    <row r="72" spans="3:9">
      <c r="C72" s="9"/>
      <c r="I72" s="11"/>
    </row>
    <row r="73" spans="3:9">
      <c r="C73" s="9"/>
      <c r="I73" s="11"/>
    </row>
    <row r="74" spans="3:9">
      <c r="C74" s="9"/>
      <c r="I74" s="11"/>
    </row>
    <row r="75" spans="3:9">
      <c r="C75" s="9"/>
      <c r="I75" s="11"/>
    </row>
    <row r="76" spans="3:9">
      <c r="C76" s="9"/>
      <c r="I76" s="11"/>
    </row>
    <row r="77" spans="3:9">
      <c r="C77" s="14"/>
      <c r="I77" s="11"/>
    </row>
    <row r="78" spans="3:9">
      <c r="C78" s="12"/>
      <c r="I78" s="11"/>
    </row>
    <row r="79" spans="3:9">
      <c r="C79" s="9"/>
      <c r="I79" s="11"/>
    </row>
    <row r="80" spans="3:9">
      <c r="C80" s="9"/>
      <c r="I80" s="11"/>
    </row>
    <row r="81" spans="3:9">
      <c r="C81" s="9"/>
      <c r="I81" s="11"/>
    </row>
    <row r="82" spans="3:9">
      <c r="C82" s="9"/>
    </row>
    <row r="83" spans="3:9">
      <c r="C83" s="14"/>
      <c r="I83" s="11"/>
    </row>
    <row r="84" spans="3:9">
      <c r="C84" s="9"/>
      <c r="I84" s="11"/>
    </row>
    <row r="85" spans="3:9">
      <c r="C85" s="9"/>
      <c r="I85" s="11"/>
    </row>
    <row r="86" spans="3:9">
      <c r="C86" s="9"/>
      <c r="I86" s="11"/>
    </row>
    <row r="87" spans="3:9">
      <c r="C87" s="9"/>
      <c r="I87" s="11"/>
    </row>
    <row r="88" spans="3:9">
      <c r="C88" s="9"/>
      <c r="I88" s="11"/>
    </row>
    <row r="89" spans="3:9">
      <c r="C89" s="9"/>
      <c r="I89" s="11"/>
    </row>
    <row r="90" spans="3:9">
      <c r="C90" s="9"/>
      <c r="I90" s="11"/>
    </row>
    <row r="91" spans="3:9">
      <c r="C91" s="13"/>
      <c r="I91" s="11"/>
    </row>
    <row r="92" spans="3:9">
      <c r="C92" s="13"/>
    </row>
    <row r="93" spans="3:9">
      <c r="C93" s="13"/>
    </row>
    <row r="94" spans="3:9">
      <c r="C94" s="13"/>
    </row>
    <row r="95" spans="3:9">
      <c r="C95" s="13"/>
    </row>
    <row r="96" spans="3:9">
      <c r="C96" s="13"/>
    </row>
    <row r="97" spans="3:3">
      <c r="C97" s="13"/>
    </row>
    <row r="98" spans="3:3">
      <c r="C98" s="13"/>
    </row>
    <row r="99" spans="3:3">
      <c r="C99" s="13"/>
    </row>
    <row r="100" spans="3:3">
      <c r="C100" s="13"/>
    </row>
    <row r="101" spans="3:3">
      <c r="C101" s="13"/>
    </row>
    <row r="102" spans="3:3">
      <c r="C102" s="13"/>
    </row>
    <row r="103" spans="3:3">
      <c r="C103" s="13"/>
    </row>
    <row r="104" spans="3:3">
      <c r="C104" s="13"/>
    </row>
    <row r="105" spans="3:3">
      <c r="C105" s="13"/>
    </row>
    <row r="106" spans="3:3">
      <c r="C106" s="13"/>
    </row>
    <row r="107" spans="3:3">
      <c r="C107" s="13"/>
    </row>
    <row r="108" spans="3:3">
      <c r="C108" s="13"/>
    </row>
    <row r="109" spans="3:3">
      <c r="C109" s="13"/>
    </row>
    <row r="110" spans="3:3">
      <c r="C110" s="13"/>
    </row>
    <row r="111" spans="3:3">
      <c r="C111" s="13"/>
    </row>
    <row r="112" spans="3:3">
      <c r="C112" s="13"/>
    </row>
  </sheetData>
  <sortState xmlns:xlrd2="http://schemas.microsoft.com/office/spreadsheetml/2017/richdata2" ref="C26:I33">
    <sortCondition descending="1" ref="F26:F33"/>
  </sortState>
  <mergeCells count="11">
    <mergeCell ref="C50:I50"/>
    <mergeCell ref="A1:I1"/>
    <mergeCell ref="C5:I5"/>
    <mergeCell ref="C34:I34"/>
    <mergeCell ref="C43:I43"/>
    <mergeCell ref="C33:I33"/>
    <mergeCell ref="C42:I42"/>
    <mergeCell ref="F6:F8"/>
    <mergeCell ref="G6:G8"/>
    <mergeCell ref="H6:H8"/>
    <mergeCell ref="I6:I8"/>
  </mergeCells>
  <phoneticPr fontId="9" type="noConversion"/>
  <conditionalFormatting sqref="B35:I41 B44:I48 B51:I52 B6:I32">
    <cfRule type="expression" dxfId="0" priority="14">
      <formula>$D6=0</formula>
    </cfRule>
  </conditionalFormatting>
  <dataValidations disablePrompts="1" count="2">
    <dataValidation type="list" showInputMessage="1" showErrorMessage="1" sqref="C3" xr:uid="{00000000-0002-0000-0000-000000000000}">
      <formula1>$J$3:$K$3</formula1>
    </dataValidation>
    <dataValidation type="list" showInputMessage="1" showErrorMessage="1" sqref="D3" xr:uid="{00000000-0002-0000-0000-000001000000}">
      <formula1>$L$3:$N$3</formula1>
    </dataValidation>
  </dataValidations>
  <printOptions horizontalCentered="1"/>
  <pageMargins left="0" right="0" top="0" bottom="0" header="0" footer="0"/>
  <pageSetup scale="54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W</dc:creator>
  <cp:lastModifiedBy>Microsoft Office User</cp:lastModifiedBy>
  <cp:lastPrinted>2022-01-25T00:11:07Z</cp:lastPrinted>
  <dcterms:created xsi:type="dcterms:W3CDTF">2015-06-15T19:51:48Z</dcterms:created>
  <dcterms:modified xsi:type="dcterms:W3CDTF">2022-01-31T19:29:10Z</dcterms:modified>
</cp:coreProperties>
</file>