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20" windowWidth="20730" windowHeight="11100" activeTab="4"/>
  </bookViews>
  <sheets>
    <sheet name="Targeting Inputs" sheetId="8" r:id="rId1"/>
    <sheet name="Cost Inputs" sheetId="11" r:id="rId2"/>
    <sheet name="MMC Cost Estimates" sheetId="6" r:id="rId3"/>
    <sheet name="Pricing Summary" sheetId="7" r:id="rId4"/>
    <sheet name="Axiom Feedback" sheetId="12" r:id="rId5"/>
  </sheets>
  <calcPr calcId="145621"/>
</workbook>
</file>

<file path=xl/calcChain.xml><?xml version="1.0" encoding="utf-8"?>
<calcChain xmlns="http://schemas.openxmlformats.org/spreadsheetml/2006/main">
  <c r="B54" i="6" l="1"/>
  <c r="D48" i="6"/>
  <c r="C48" i="6"/>
  <c r="B48" i="6"/>
  <c r="E41" i="6"/>
  <c r="C26" i="11" l="1"/>
  <c r="B58" i="6" l="1"/>
  <c r="B59" i="6"/>
  <c r="B60" i="6"/>
  <c r="B61" i="6"/>
  <c r="B57" i="6"/>
  <c r="J23" i="6"/>
  <c r="J26" i="6"/>
  <c r="J20" i="6"/>
  <c r="F67" i="11" l="1"/>
  <c r="D66" i="11"/>
  <c r="D65" i="11"/>
  <c r="D64" i="11"/>
  <c r="D63" i="11"/>
  <c r="D62" i="11"/>
  <c r="B23" i="6" l="1"/>
  <c r="E23" i="6" s="1"/>
  <c r="B24" i="6"/>
  <c r="F24" i="6" s="1"/>
  <c r="B25" i="6"/>
  <c r="G25" i="6" s="1"/>
  <c r="E11" i="6"/>
  <c r="E12" i="6"/>
  <c r="E13" i="6"/>
  <c r="D11" i="6"/>
  <c r="D12" i="6"/>
  <c r="D13" i="6"/>
  <c r="C11" i="6"/>
  <c r="C12" i="6"/>
  <c r="B5" i="6"/>
  <c r="B6" i="6"/>
  <c r="B7" i="6"/>
  <c r="B8" i="6"/>
  <c r="B9" i="6"/>
  <c r="B10" i="6"/>
  <c r="B11" i="6"/>
  <c r="B12" i="6"/>
  <c r="B13" i="6"/>
  <c r="B26" i="11"/>
  <c r="B27" i="11" s="1"/>
  <c r="B41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B40" i="8"/>
  <c r="B39" i="8"/>
  <c r="B38" i="8"/>
  <c r="B37" i="8"/>
  <c r="B36" i="8"/>
  <c r="B35" i="8"/>
  <c r="L39" i="8"/>
  <c r="L38" i="8"/>
  <c r="I40" i="8"/>
  <c r="L40" i="8" s="1"/>
  <c r="I39" i="8"/>
  <c r="I38" i="8"/>
  <c r="D25" i="6" l="1"/>
  <c r="H25" i="6"/>
  <c r="D24" i="6"/>
  <c r="H24" i="6"/>
  <c r="E24" i="6"/>
  <c r="C24" i="6"/>
  <c r="G24" i="6"/>
  <c r="F23" i="6"/>
  <c r="D23" i="6"/>
  <c r="F25" i="6"/>
  <c r="H23" i="6"/>
  <c r="C23" i="6"/>
  <c r="E25" i="6"/>
  <c r="G23" i="6"/>
  <c r="C25" i="6"/>
  <c r="G27" i="8"/>
  <c r="C15" i="7"/>
  <c r="C10" i="7"/>
  <c r="H36" i="11"/>
  <c r="H37" i="11"/>
  <c r="E15" i="7" s="1"/>
  <c r="H35" i="11"/>
  <c r="E10" i="7" s="1"/>
  <c r="B26" i="6"/>
  <c r="H26" i="6" s="1"/>
  <c r="B22" i="6"/>
  <c r="C22" i="6" s="1"/>
  <c r="B21" i="6"/>
  <c r="D21" i="6" s="1"/>
  <c r="B20" i="6"/>
  <c r="H20" i="6" s="1"/>
  <c r="C5" i="6"/>
  <c r="C6" i="6"/>
  <c r="C7" i="6"/>
  <c r="C8" i="6"/>
  <c r="C9" i="6"/>
  <c r="C10" i="6"/>
  <c r="C13" i="6"/>
  <c r="E5" i="6"/>
  <c r="E6" i="6"/>
  <c r="E7" i="6"/>
  <c r="E8" i="6"/>
  <c r="E9" i="6"/>
  <c r="E10" i="6"/>
  <c r="E4" i="6"/>
  <c r="D5" i="6"/>
  <c r="D6" i="6"/>
  <c r="D7" i="6"/>
  <c r="D8" i="6"/>
  <c r="D9" i="6"/>
  <c r="D10" i="6"/>
  <c r="D4" i="6"/>
  <c r="C4" i="6"/>
  <c r="B4" i="6"/>
  <c r="B14" i="6" s="1"/>
  <c r="F59" i="11"/>
  <c r="E59" i="11"/>
  <c r="D58" i="11"/>
  <c r="D57" i="11"/>
  <c r="D56" i="11"/>
  <c r="I36" i="8"/>
  <c r="L36" i="8" s="1"/>
  <c r="I37" i="8"/>
  <c r="I41" i="8"/>
  <c r="L41" i="8" s="1"/>
  <c r="I35" i="8"/>
  <c r="L35" i="8" s="1"/>
  <c r="F53" i="11"/>
  <c r="E53" i="11"/>
  <c r="E67" i="11"/>
  <c r="F46" i="11"/>
  <c r="E46" i="11"/>
  <c r="D32" i="11"/>
  <c r="D52" i="11"/>
  <c r="D51" i="11"/>
  <c r="D50" i="11"/>
  <c r="D49" i="11"/>
  <c r="D45" i="11"/>
  <c r="D44" i="11"/>
  <c r="D43" i="11"/>
  <c r="D42" i="11"/>
  <c r="D41" i="11"/>
  <c r="L37" i="8"/>
  <c r="C27" i="8"/>
  <c r="D25" i="8" s="1"/>
  <c r="C14" i="6" l="1"/>
  <c r="E14" i="6"/>
  <c r="E16" i="6" s="1"/>
  <c r="C4" i="7" s="1"/>
  <c r="E4" i="7" s="1"/>
  <c r="D14" i="6"/>
  <c r="D16" i="6" s="1"/>
  <c r="I24" i="6"/>
  <c r="J24" i="6" s="1"/>
  <c r="I23" i="6"/>
  <c r="I25" i="6"/>
  <c r="J25" i="6" s="1"/>
  <c r="C27" i="11"/>
  <c r="D11" i="8"/>
  <c r="D18" i="8"/>
  <c r="E9" i="8"/>
  <c r="D26" i="8"/>
  <c r="D21" i="8"/>
  <c r="D16" i="8"/>
  <c r="D12" i="8"/>
  <c r="D23" i="8"/>
  <c r="D14" i="8"/>
  <c r="E10" i="8"/>
  <c r="E6" i="8"/>
  <c r="D17" i="8"/>
  <c r="D8" i="8"/>
  <c r="E8" i="8"/>
  <c r="D24" i="8"/>
  <c r="D20" i="8"/>
  <c r="D15" i="8"/>
  <c r="D10" i="8"/>
  <c r="E26" i="8"/>
  <c r="E7" i="8"/>
  <c r="D19" i="8"/>
  <c r="D9" i="8"/>
  <c r="D22" i="8"/>
  <c r="D13" i="8"/>
  <c r="G22" i="7"/>
  <c r="D6" i="8"/>
  <c r="G15" i="7"/>
  <c r="H15" i="7" s="1"/>
  <c r="C22" i="7"/>
  <c r="D22" i="7"/>
  <c r="E22" i="7"/>
  <c r="F22" i="7"/>
  <c r="G21" i="6"/>
  <c r="H21" i="6"/>
  <c r="F20" i="6"/>
  <c r="E20" i="6"/>
  <c r="F21" i="6"/>
  <c r="D20" i="6"/>
  <c r="C21" i="6"/>
  <c r="E26" i="6"/>
  <c r="G20" i="6"/>
  <c r="D26" i="6"/>
  <c r="C20" i="6"/>
  <c r="G26" i="6"/>
  <c r="C26" i="6"/>
  <c r="D22" i="6"/>
  <c r="E21" i="6"/>
  <c r="F22" i="6"/>
  <c r="H22" i="6"/>
  <c r="E22" i="6"/>
  <c r="F26" i="6"/>
  <c r="G22" i="6"/>
  <c r="B27" i="6"/>
  <c r="E5" i="8"/>
  <c r="D5" i="8"/>
  <c r="D7" i="8"/>
  <c r="H27" i="8"/>
  <c r="G27" i="6" l="1"/>
  <c r="B53" i="6" s="1"/>
  <c r="I20" i="6"/>
  <c r="I26" i="6"/>
  <c r="I22" i="6"/>
  <c r="J22" i="6" s="1"/>
  <c r="H27" i="6"/>
  <c r="D27" i="6"/>
  <c r="E27" i="6"/>
  <c r="B51" i="6" s="1"/>
  <c r="I21" i="6"/>
  <c r="J21" i="6" s="1"/>
  <c r="F27" i="6"/>
  <c r="B52" i="6" s="1"/>
  <c r="C27" i="6"/>
  <c r="C32" i="6" l="1"/>
  <c r="B32" i="6" s="1"/>
  <c r="C31" i="6"/>
  <c r="B31" i="6" s="1"/>
  <c r="C23" i="7"/>
  <c r="C24" i="7" s="1"/>
  <c r="C25" i="7" s="1"/>
  <c r="B45" i="6"/>
  <c r="B46" i="6"/>
  <c r="B47" i="6"/>
  <c r="B44" i="6"/>
  <c r="B37" i="6"/>
  <c r="B36" i="6"/>
  <c r="B40" i="6"/>
  <c r="B38" i="6"/>
  <c r="B39" i="6"/>
  <c r="I27" i="6"/>
  <c r="J27" i="6" s="1"/>
  <c r="C60" i="6" l="1"/>
  <c r="D60" i="6" s="1"/>
  <c r="C52" i="6"/>
  <c r="C46" i="6"/>
  <c r="D46" i="6" s="1"/>
  <c r="E46" i="6" s="1"/>
  <c r="F46" i="6" s="1"/>
  <c r="C38" i="6"/>
  <c r="D38" i="6" s="1"/>
  <c r="E38" i="6" s="1"/>
  <c r="C58" i="6"/>
  <c r="D58" i="6" s="1"/>
  <c r="C44" i="6"/>
  <c r="C59" i="6"/>
  <c r="D59" i="6" s="1"/>
  <c r="C37" i="6"/>
  <c r="C61" i="6"/>
  <c r="D61" i="6" s="1"/>
  <c r="C53" i="6"/>
  <c r="D53" i="6" s="1"/>
  <c r="E53" i="6" s="1"/>
  <c r="F53" i="6" s="1"/>
  <c r="C47" i="6"/>
  <c r="C39" i="6"/>
  <c r="D39" i="6" s="1"/>
  <c r="E39" i="6" s="1"/>
  <c r="C57" i="6"/>
  <c r="D57" i="6" s="1"/>
  <c r="C51" i="6"/>
  <c r="C40" i="6"/>
  <c r="D40" i="6" s="1"/>
  <c r="E40" i="6" s="1"/>
  <c r="C45" i="6"/>
  <c r="C36" i="6"/>
  <c r="D36" i="6" s="1"/>
  <c r="D45" i="6"/>
  <c r="E45" i="6" s="1"/>
  <c r="F45" i="6" s="1"/>
  <c r="D31" i="6"/>
  <c r="E31" i="6" s="1"/>
  <c r="C33" i="6"/>
  <c r="C27" i="7" s="1"/>
  <c r="D44" i="6"/>
  <c r="D47" i="6"/>
  <c r="E47" i="6" s="1"/>
  <c r="F47" i="6" s="1"/>
  <c r="D37" i="6"/>
  <c r="E37" i="6" s="1"/>
  <c r="B41" i="6"/>
  <c r="E31" i="11"/>
  <c r="E30" i="11"/>
  <c r="D52" i="6" l="1"/>
  <c r="C54" i="6"/>
  <c r="B15" i="6"/>
  <c r="B16" i="6" s="1"/>
  <c r="C41" i="6"/>
  <c r="C62" i="6"/>
  <c r="D51" i="6"/>
  <c r="E51" i="6" s="1"/>
  <c r="C15" i="6"/>
  <c r="C16" i="6" s="1"/>
  <c r="C3" i="7" s="1"/>
  <c r="E3" i="7" s="1"/>
  <c r="H36" i="6"/>
  <c r="E36" i="6"/>
  <c r="F36" i="6" s="1"/>
  <c r="H61" i="6"/>
  <c r="E61" i="6"/>
  <c r="F61" i="6" s="1"/>
  <c r="H59" i="6"/>
  <c r="E59" i="6"/>
  <c r="F59" i="6" s="1"/>
  <c r="E60" i="6"/>
  <c r="F60" i="6" s="1"/>
  <c r="H60" i="6"/>
  <c r="H57" i="6"/>
  <c r="E57" i="6"/>
  <c r="H58" i="6"/>
  <c r="E58" i="6"/>
  <c r="F58" i="6" s="1"/>
  <c r="F40" i="6"/>
  <c r="H40" i="6"/>
  <c r="F37" i="6"/>
  <c r="H37" i="6"/>
  <c r="F39" i="6"/>
  <c r="H39" i="6"/>
  <c r="F38" i="6"/>
  <c r="H38" i="6"/>
  <c r="B33" i="6"/>
  <c r="C5" i="7" s="1"/>
  <c r="E5" i="7" s="1"/>
  <c r="D32" i="6"/>
  <c r="E32" i="6" s="1"/>
  <c r="E44" i="6"/>
  <c r="E23" i="7"/>
  <c r="E24" i="7" s="1"/>
  <c r="E25" i="7" s="1"/>
  <c r="B62" i="6"/>
  <c r="D62" i="6"/>
  <c r="D41" i="6"/>
  <c r="D23" i="7" s="1"/>
  <c r="E52" i="6" l="1"/>
  <c r="D54" i="6"/>
  <c r="F23" i="7" s="1"/>
  <c r="F24" i="7" s="1"/>
  <c r="F25" i="7" s="1"/>
  <c r="D24" i="7"/>
  <c r="D25" i="7" s="1"/>
  <c r="H62" i="6"/>
  <c r="H41" i="6"/>
  <c r="C6" i="7"/>
  <c r="E6" i="7" s="1"/>
  <c r="D33" i="6"/>
  <c r="E33" i="6" s="1"/>
  <c r="E48" i="6"/>
  <c r="C7" i="7" s="1"/>
  <c r="E7" i="7" s="1"/>
  <c r="F44" i="6"/>
  <c r="E62" i="6"/>
  <c r="F57" i="6"/>
  <c r="F51" i="6"/>
  <c r="F52" i="6" l="1"/>
  <c r="E54" i="6"/>
  <c r="C8" i="7" s="1"/>
  <c r="E8" i="7" s="1"/>
  <c r="C14" i="7"/>
  <c r="E14" i="7" s="1"/>
  <c r="G23" i="7"/>
  <c r="G24" i="7" s="1"/>
  <c r="G25" i="7" s="1"/>
  <c r="F41" i="6"/>
  <c r="F62" i="6"/>
  <c r="C9" i="7"/>
  <c r="E9" i="7" s="1"/>
  <c r="F54" i="6"/>
  <c r="F48" i="6"/>
  <c r="C26" i="7" l="1"/>
  <c r="G5" i="7"/>
  <c r="H5" i="7" s="1"/>
  <c r="G14" i="7"/>
  <c r="H14" i="7" s="1"/>
  <c r="D26" i="7"/>
  <c r="E26" i="7"/>
  <c r="F26" i="7" l="1"/>
  <c r="G26" i="7"/>
  <c r="G7" i="7"/>
  <c r="H7" i="7" s="1"/>
  <c r="G8" i="7"/>
  <c r="H8" i="7" s="1"/>
  <c r="G9" i="7"/>
  <c r="H9" i="7" s="1"/>
  <c r="G6" i="7"/>
  <c r="H6" i="7" s="1"/>
  <c r="E16" i="7"/>
  <c r="G16" i="7" s="1"/>
  <c r="H16" i="7" s="1"/>
  <c r="C16" i="7" l="1"/>
  <c r="D16" i="7" s="1"/>
  <c r="B17" i="11" l="1"/>
  <c r="G3" i="7" l="1"/>
  <c r="H3" i="7" s="1"/>
  <c r="B18" i="11"/>
  <c r="C11" i="7"/>
  <c r="G4" i="7" l="1"/>
  <c r="H4" i="7" s="1"/>
  <c r="C18" i="7"/>
  <c r="G10" i="7"/>
  <c r="H10" i="7" s="1"/>
  <c r="D10" i="7"/>
  <c r="E11" i="7"/>
  <c r="G11" i="7" s="1"/>
  <c r="H11" i="7" s="1"/>
  <c r="D11" i="7" l="1"/>
  <c r="E18" i="7"/>
  <c r="D18" i="7" l="1"/>
  <c r="G18" i="7"/>
  <c r="H18" i="7" s="1"/>
</calcChain>
</file>

<file path=xl/sharedStrings.xml><?xml version="1.0" encoding="utf-8"?>
<sst xmlns="http://schemas.openxmlformats.org/spreadsheetml/2006/main" count="354" uniqueCount="199">
  <si>
    <t>Total</t>
  </si>
  <si>
    <t>Yearly Target Frequencies</t>
  </si>
  <si>
    <t>TM</t>
  </si>
  <si>
    <t>DM</t>
  </si>
  <si>
    <t>EM</t>
  </si>
  <si>
    <t>TOTAL TOUCHES</t>
  </si>
  <si>
    <t>Postcard - 5.5 x 8.5</t>
  </si>
  <si>
    <t>Postcard - 6 x 11</t>
  </si>
  <si>
    <t>TriFold Self Mailer</t>
  </si>
  <si>
    <t>6 x 9 package</t>
  </si>
  <si>
    <t>Calls per contact</t>
  </si>
  <si>
    <t xml:space="preserve">Analytics/List </t>
  </si>
  <si>
    <t>Program Management - AE/SMA</t>
  </si>
  <si>
    <t>Sales Management</t>
  </si>
  <si>
    <t xml:space="preserve">IS / Systems </t>
  </si>
  <si>
    <t>Training</t>
  </si>
  <si>
    <t>Total Touches</t>
  </si>
  <si>
    <t>Total Cost</t>
  </si>
  <si>
    <t>Reps Required</t>
  </si>
  <si>
    <t>TOTAL MMC TOUCHES</t>
  </si>
  <si>
    <t>TOTAL</t>
  </si>
  <si>
    <t>Margin</t>
  </si>
  <si>
    <t>Segment</t>
  </si>
  <si>
    <t>Lost Customers</t>
  </si>
  <si>
    <t>Cumulative Percent</t>
  </si>
  <si>
    <t>Treatment Strategy</t>
  </si>
  <si>
    <t>Prospects</t>
  </si>
  <si>
    <t>Existing Customers</t>
  </si>
  <si>
    <t>Other</t>
  </si>
  <si>
    <t>High Investment</t>
  </si>
  <si>
    <t>Medium Investment</t>
  </si>
  <si>
    <t>Low Investment</t>
  </si>
  <si>
    <t>Percent</t>
  </si>
  <si>
    <t>Number of Targets</t>
  </si>
  <si>
    <t>Targets</t>
  </si>
  <si>
    <t>Annual field sales visits (est)</t>
  </si>
  <si>
    <t>PY Sales</t>
  </si>
  <si>
    <t>CY Sales</t>
  </si>
  <si>
    <t>Target Audience Definition</t>
  </si>
  <si>
    <t>Comments:</t>
  </si>
  <si>
    <t>Segment counts should be available from preliminary sales data analysis, or estimated based on assumed program composition.</t>
  </si>
  <si>
    <t>Sales data should be available from preliminary data analysis, but is for informational purposes only and does not affect program pricing.</t>
  </si>
  <si>
    <t>MMC Treatment Strategies</t>
  </si>
  <si>
    <t>Targeting Inputs</t>
  </si>
  <si>
    <t>Area</t>
  </si>
  <si>
    <t>Creative/Design</t>
  </si>
  <si>
    <t>Marketing Strategy</t>
  </si>
  <si>
    <t>Marketing Operations/MOD</t>
  </si>
  <si>
    <t>MMC Burden Rate</t>
  </si>
  <si>
    <t>Setup</t>
  </si>
  <si>
    <t>Setup FTE/Mo</t>
  </si>
  <si>
    <t>Setup Months</t>
  </si>
  <si>
    <t>Ongoing FTE/Mo</t>
  </si>
  <si>
    <t>Ongoing Months</t>
  </si>
  <si>
    <t>Cost Inputs</t>
  </si>
  <si>
    <t>Program Support Expenses</t>
  </si>
  <si>
    <t>Program Execution Expenses</t>
  </si>
  <si>
    <t>Print</t>
  </si>
  <si>
    <t>Annual Resource Cost</t>
  </si>
  <si>
    <t>Call Completion %</t>
  </si>
  <si>
    <t>Postage</t>
  </si>
  <si>
    <t>Ongoing Management</t>
  </si>
  <si>
    <t>Program Cost</t>
  </si>
  <si>
    <t>Digital</t>
  </si>
  <si>
    <t># Treatment Months</t>
  </si>
  <si>
    <t>Telesales &amp; TM</t>
  </si>
  <si>
    <t>MMC Cost/Piece</t>
  </si>
  <si>
    <t>Category</t>
  </si>
  <si>
    <t>Total Price</t>
  </si>
  <si>
    <t>Ongoing Mgmt</t>
  </si>
  <si>
    <t>Pass Throughs</t>
  </si>
  <si>
    <t>Postage/Piece</t>
  </si>
  <si>
    <t>Total Cost/Piece</t>
  </si>
  <si>
    <t>Telesales / Closer</t>
  </si>
  <si>
    <t>Profiling / Opener</t>
  </si>
  <si>
    <t>Call Mix</t>
  </si>
  <si>
    <t>Print Piece Format</t>
  </si>
  <si>
    <t>HTML Email</t>
  </si>
  <si>
    <t>PURL Message</t>
  </si>
  <si>
    <t>Delivery/Piece</t>
  </si>
  <si>
    <t>Digital Piece Format</t>
  </si>
  <si>
    <t>Video Email</t>
  </si>
  <si>
    <t>Other Communication Format</t>
  </si>
  <si>
    <t>OB Fax</t>
  </si>
  <si>
    <t>OB TM</t>
  </si>
  <si>
    <t>OB DM</t>
  </si>
  <si>
    <t>OB EM</t>
  </si>
  <si>
    <t>OB Other</t>
  </si>
  <si>
    <t>OB AVM</t>
  </si>
  <si>
    <t>TM Resource Type</t>
  </si>
  <si>
    <t>Setup Hours</t>
  </si>
  <si>
    <t>Setup Cost</t>
  </si>
  <si>
    <t>Ongoing Hours</t>
  </si>
  <si>
    <t>Ongoing Cost</t>
  </si>
  <si>
    <t>Set-up and Ongoing Program Management Costs</t>
  </si>
  <si>
    <t>TOTAL OB MMC TOUCHES</t>
  </si>
  <si>
    <t>MMC OB Touches</t>
  </si>
  <si>
    <t>TM Program Costs</t>
  </si>
  <si>
    <t>Cost per Dial</t>
  </si>
  <si>
    <t>Cost per Completed Call</t>
  </si>
  <si>
    <t>Total TM Costs</t>
  </si>
  <si>
    <t>OB Pieces</t>
  </si>
  <si>
    <t>Total Pieces</t>
  </si>
  <si>
    <t>Print Pieces</t>
  </si>
  <si>
    <t>Digital Pieces</t>
  </si>
  <si>
    <t>Other Communications</t>
  </si>
  <si>
    <t>Fulfillment</t>
  </si>
  <si>
    <t>Fulfillment Pieces</t>
  </si>
  <si>
    <t>Cost/Piece</t>
  </si>
  <si>
    <t>Price</t>
  </si>
  <si>
    <t>Margin %</t>
  </si>
  <si>
    <t>Piece Cost</t>
  </si>
  <si>
    <t>Other Misc</t>
  </si>
  <si>
    <t>TOTAL PROGRAM</t>
  </si>
  <si>
    <t>Cost</t>
  </si>
  <si>
    <t>Cost Summary</t>
  </si>
  <si>
    <t>Touch Summary</t>
  </si>
  <si>
    <t>Touches</t>
  </si>
  <si>
    <t>Total Per Target</t>
  </si>
  <si>
    <t>Total Per Target Per Month</t>
  </si>
  <si>
    <t>Price/Target</t>
  </si>
  <si>
    <t>Price/Target/Month</t>
  </si>
  <si>
    <t>Price/Touch</t>
  </si>
  <si>
    <t>Target Summary</t>
  </si>
  <si>
    <t>Not Required</t>
  </si>
  <si>
    <t>Long Distance</t>
  </si>
  <si>
    <t>OB DM Mix</t>
  </si>
  <si>
    <t>OB EM Mix</t>
  </si>
  <si>
    <t>OB Other Mix</t>
  </si>
  <si>
    <t>Other Misc (Travel, Materials, etc)</t>
  </si>
  <si>
    <t>Limited Investment</t>
  </si>
  <si>
    <t>Moderate Investment</t>
  </si>
  <si>
    <t>Extreme Investment</t>
  </si>
  <si>
    <t>Yield per Non-TM Touch</t>
  </si>
  <si>
    <t>Yield per OB Call</t>
  </si>
  <si>
    <t>Follow-Up Marketing Activity</t>
  </si>
  <si>
    <t>POD</t>
  </si>
  <si>
    <t>Follow-Up Mix</t>
  </si>
  <si>
    <t># Training Months</t>
  </si>
  <si>
    <t>Calling Days per Month</t>
  </si>
  <si>
    <t>Targeted Dials/Rep per Day</t>
  </si>
  <si>
    <t>Target Completes/Rep per Day</t>
  </si>
  <si>
    <t>TM/Closer</t>
  </si>
  <si>
    <t>TM/Opener</t>
  </si>
  <si>
    <t>Follow-up Pieces</t>
  </si>
  <si>
    <t>Training Admin</t>
  </si>
  <si>
    <t>TM Rep Training</t>
  </si>
  <si>
    <t>Subtotal</t>
  </si>
  <si>
    <t>Labor Area</t>
  </si>
  <si>
    <t>Fulfillment Piece Format</t>
  </si>
  <si>
    <t>Other Follow-Up Mix</t>
  </si>
  <si>
    <t>TM Generated FDL Mix</t>
  </si>
  <si>
    <t>Follow Up Mix</t>
  </si>
  <si>
    <t>Other Misc Program Costs</t>
  </si>
  <si>
    <t>Educational Qualifications</t>
  </si>
  <si>
    <t>For Reference</t>
  </si>
  <si>
    <t>TOTAL OB Non-TM TOUCHES</t>
  </si>
  <si>
    <t>TM Touch Driven</t>
  </si>
  <si>
    <t>Total TM Reps</t>
  </si>
  <si>
    <t>Assumed Targets with EM Available</t>
  </si>
  <si>
    <t>no degree</t>
  </si>
  <si>
    <t>no experience</t>
  </si>
  <si>
    <t xml:space="preserve">2+ yrs </t>
  </si>
  <si>
    <t>4+ yrs</t>
  </si>
  <si>
    <t>college degree</t>
  </si>
  <si>
    <t>specialty qualification</t>
  </si>
  <si>
    <t>Annual Resource Cost (inc. commissions)</t>
  </si>
  <si>
    <t>Description</t>
  </si>
  <si>
    <t>Entry Level Opener</t>
  </si>
  <si>
    <t>Entry Level Marketing Rep</t>
  </si>
  <si>
    <t>Sr Level Marketing Rep</t>
  </si>
  <si>
    <t>Entry Level Closer</t>
  </si>
  <si>
    <t>Sr Closer</t>
  </si>
  <si>
    <t>Customer Service Rep</t>
  </si>
  <si>
    <t>Data Entry Rep</t>
  </si>
  <si>
    <t>Custom/Other</t>
  </si>
  <si>
    <t>OR Work Qualifications</t>
  </si>
  <si>
    <t>Analytics</t>
  </si>
  <si>
    <t>IS / Systems / DB</t>
  </si>
  <si>
    <t>1.)</t>
  </si>
  <si>
    <t>2.)</t>
  </si>
  <si>
    <t>3.)</t>
  </si>
  <si>
    <t>MMC should consider adding a worksheet listing the standard legal contract components and exceptions</t>
  </si>
  <si>
    <t>MMC should review the proposed burden rate to be used (rate appears to be low compared to other clients and industries)</t>
  </si>
  <si>
    <t>4.)</t>
  </si>
  <si>
    <t>MMC should consider adding a projected cash flow worksheet (Cash in and out over the life of the contract)</t>
  </si>
  <si>
    <t>(ie New Client, New Industry, Aggressive Targets, Heavey penalites…etc.)</t>
  </si>
  <si>
    <t>6.)</t>
  </si>
  <si>
    <t>MMC should consider adding a worksheet which lists any variants to the standard pricing</t>
  </si>
  <si>
    <t>(ie  new pricing components, nonstandard overhead or profitablity rates, unusual staffing support / rates)</t>
  </si>
  <si>
    <t>7.)</t>
  </si>
  <si>
    <t>MMC should consider adding a worksheet for approvals, project summary, key contract exceptions and key risks.  Approvals should include, appropriate senior management, finance &amp; legal</t>
  </si>
  <si>
    <t xml:space="preserve">MMC should consider adding a tab that attempts to quantify the deal's risks and lists planned mitigation strategies  </t>
  </si>
  <si>
    <t>5.)</t>
  </si>
  <si>
    <t>8.)</t>
  </si>
  <si>
    <t>MMC should confirm if salary costs include bonuses and inflation if multi year agreement</t>
  </si>
  <si>
    <t>MMC should consider listing what drives the IS / Systems / DB costs (cel B11 on the Costs Worksheet)</t>
  </si>
  <si>
    <t>9.)</t>
  </si>
  <si>
    <t>MMC should confirm appropriate overhead is included within the cost components / elements (ie Print &amp; Digital Pieces)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</si>
</sst>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0.0"/>
    <numFmt numFmtId="167" formatCode="0.0%"/>
    <numFmt numFmtId="168" formatCode="&quot;$&quot;#,##0.00"/>
    <numFmt numFmtId="169" formatCode="&quot;$&quot;#,##0"/>
    <numFmt numFmtId="170" formatCode="_(&quot;$&quot;* #,##0_);_(&quot;$&quot;* \(#,##0\);_(&quot;$&quot;* &quot;-&quot;??_);_(@_)"/>
  </numFmts>
  <fonts count="2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sz val="11"/>
      <color indexed="8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9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4" fillId="26" borderId="0" applyNumberFormat="0" applyBorder="0" applyAlignment="0" applyProtection="0"/>
    <xf numFmtId="0" fontId="5" fillId="27" borderId="2" applyNumberFormat="0" applyAlignment="0" applyProtection="0"/>
    <xf numFmtId="0" fontId="6" fillId="28" borderId="3" applyNumberFormat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29" borderId="0" applyNumberFormat="0" applyBorder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1" fillId="0" borderId="6" applyNumberFormat="0" applyFill="0" applyAlignment="0" applyProtection="0"/>
    <xf numFmtId="0" fontId="11" fillId="0" borderId="0" applyNumberFormat="0" applyFill="0" applyBorder="0" applyAlignment="0" applyProtection="0"/>
    <xf numFmtId="0" fontId="12" fillId="30" borderId="2" applyNumberFormat="0" applyAlignment="0" applyProtection="0"/>
    <xf numFmtId="0" fontId="13" fillId="0" borderId="7" applyNumberFormat="0" applyFill="0" applyAlignment="0" applyProtection="0"/>
    <xf numFmtId="0" fontId="14" fillId="31" borderId="0" applyNumberFormat="0" applyBorder="0" applyAlignment="0" applyProtection="0"/>
    <xf numFmtId="0" fontId="1" fillId="0" borderId="0"/>
    <xf numFmtId="0" fontId="2" fillId="32" borderId="8" applyNumberFormat="0" applyFont="0" applyAlignment="0" applyProtection="0"/>
    <xf numFmtId="0" fontId="15" fillId="27" borderId="9" applyNumberFormat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10" applyNumberFormat="0" applyFill="0" applyAlignment="0" applyProtection="0"/>
    <xf numFmtId="0" fontId="18" fillId="0" borderId="0" applyNumberFormat="0" applyFill="0" applyBorder="0" applyAlignment="0" applyProtection="0"/>
    <xf numFmtId="0" fontId="1" fillId="0" borderId="0"/>
  </cellStyleXfs>
  <cellXfs count="117">
    <xf numFmtId="0" fontId="0" fillId="0" borderId="0" xfId="0"/>
    <xf numFmtId="0" fontId="0" fillId="0" borderId="0" xfId="0" applyFont="1"/>
    <xf numFmtId="0" fontId="0" fillId="0" borderId="0" xfId="0" applyFont="1" applyBorder="1" applyAlignment="1"/>
    <xf numFmtId="0" fontId="17" fillId="33" borderId="11" xfId="0" applyFont="1" applyFill="1" applyBorder="1" applyAlignment="1">
      <alignment wrapText="1"/>
    </xf>
    <xf numFmtId="0" fontId="17" fillId="0" borderId="11" xfId="0" applyFont="1" applyBorder="1" applyAlignment="1"/>
    <xf numFmtId="167" fontId="0" fillId="0" borderId="11" xfId="0" applyNumberFormat="1" applyFont="1" applyBorder="1" applyAlignment="1">
      <alignment horizontal="right" indent="2"/>
    </xf>
    <xf numFmtId="0" fontId="17" fillId="33" borderId="12" xfId="0" applyFont="1" applyFill="1" applyBorder="1" applyAlignment="1">
      <alignment horizontal="center" wrapText="1" readingOrder="1"/>
    </xf>
    <xf numFmtId="0" fontId="17" fillId="0" borderId="0" xfId="0" applyFont="1" applyFill="1" applyAlignment="1"/>
    <xf numFmtId="0" fontId="17" fillId="33" borderId="12" xfId="0" applyFont="1" applyFill="1" applyBorder="1" applyAlignment="1">
      <alignment wrapText="1"/>
    </xf>
    <xf numFmtId="0" fontId="17" fillId="0" borderId="12" xfId="0" applyFont="1" applyBorder="1" applyAlignment="1"/>
    <xf numFmtId="3" fontId="19" fillId="35" borderId="11" xfId="0" applyNumberFormat="1" applyFont="1" applyFill="1" applyBorder="1" applyAlignment="1">
      <alignment horizontal="right" vertical="center" indent="2"/>
    </xf>
    <xf numFmtId="3" fontId="19" fillId="35" borderId="12" xfId="0" applyNumberFormat="1" applyFont="1" applyFill="1" applyBorder="1" applyAlignment="1">
      <alignment horizontal="right" vertical="center" indent="2"/>
    </xf>
    <xf numFmtId="167" fontId="19" fillId="0" borderId="12" xfId="43" applyNumberFormat="1" applyFont="1" applyFill="1" applyBorder="1" applyAlignment="1">
      <alignment horizontal="right" vertical="center" indent="2"/>
    </xf>
    <xf numFmtId="169" fontId="0" fillId="35" borderId="12" xfId="30" applyNumberFormat="1" applyFont="1" applyFill="1" applyBorder="1"/>
    <xf numFmtId="9" fontId="0" fillId="0" borderId="0" xfId="0" applyNumberFormat="1" applyFont="1"/>
    <xf numFmtId="0" fontId="17" fillId="0" borderId="0" xfId="0" applyFont="1"/>
    <xf numFmtId="0" fontId="20" fillId="0" borderId="0" xfId="0" applyFont="1"/>
    <xf numFmtId="169" fontId="0" fillId="35" borderId="12" xfId="0" applyNumberFormat="1" applyFont="1" applyFill="1" applyBorder="1"/>
    <xf numFmtId="0" fontId="0" fillId="0" borderId="0" xfId="0" applyFont="1" applyAlignment="1"/>
    <xf numFmtId="0" fontId="23" fillId="0" borderId="11" xfId="48" applyFont="1" applyBorder="1" applyAlignment="1">
      <alignment horizontal="left" vertical="center" wrapText="1"/>
    </xf>
    <xf numFmtId="0" fontId="23" fillId="0" borderId="12" xfId="48" applyFont="1" applyBorder="1" applyAlignment="1">
      <alignment horizontal="left" vertical="center" wrapText="1"/>
    </xf>
    <xf numFmtId="0" fontId="17" fillId="33" borderId="14" xfId="0" applyFont="1" applyFill="1" applyBorder="1" applyAlignment="1">
      <alignment horizontal="center" wrapText="1" readingOrder="1"/>
    </xf>
    <xf numFmtId="0" fontId="22" fillId="33" borderId="12" xfId="0" applyFont="1" applyFill="1" applyBorder="1" applyAlignment="1">
      <alignment horizontal="center" wrapText="1" readingOrder="1"/>
    </xf>
    <xf numFmtId="165" fontId="0" fillId="0" borderId="12" xfId="28" applyNumberFormat="1" applyFont="1" applyBorder="1"/>
    <xf numFmtId="1" fontId="0" fillId="35" borderId="12" xfId="28" applyNumberFormat="1" applyFont="1" applyFill="1" applyBorder="1"/>
    <xf numFmtId="1" fontId="17" fillId="0" borderId="12" xfId="28" applyNumberFormat="1" applyFont="1" applyBorder="1"/>
    <xf numFmtId="0" fontId="17" fillId="0" borderId="12" xfId="0" applyFont="1" applyBorder="1"/>
    <xf numFmtId="3" fontId="21" fillId="0" borderId="11" xfId="0" applyNumberFormat="1" applyFont="1" applyFill="1" applyBorder="1" applyAlignment="1">
      <alignment horizontal="right" vertical="center" indent="2"/>
    </xf>
    <xf numFmtId="3" fontId="21" fillId="0" borderId="12" xfId="0" applyNumberFormat="1" applyFont="1" applyFill="1" applyBorder="1" applyAlignment="1">
      <alignment horizontal="right" vertical="center" indent="2"/>
    </xf>
    <xf numFmtId="0" fontId="17" fillId="0" borderId="11" xfId="0" applyFont="1" applyBorder="1" applyAlignment="1">
      <alignment horizontal="right" indent="2"/>
    </xf>
    <xf numFmtId="169" fontId="17" fillId="0" borderId="12" xfId="30" applyNumberFormat="1" applyFont="1" applyBorder="1"/>
    <xf numFmtId="9" fontId="0" fillId="35" borderId="12" xfId="0" applyNumberFormat="1" applyFont="1" applyFill="1" applyBorder="1"/>
    <xf numFmtId="0" fontId="17" fillId="0" borderId="0" xfId="0" applyFont="1" applyBorder="1" applyAlignment="1"/>
    <xf numFmtId="3" fontId="21" fillId="0" borderId="0" xfId="0" applyNumberFormat="1" applyFont="1" applyFill="1" applyBorder="1" applyAlignment="1">
      <alignment horizontal="right" vertical="center" indent="2"/>
    </xf>
    <xf numFmtId="0" fontId="17" fillId="0" borderId="0" xfId="0" applyFont="1" applyBorder="1" applyAlignment="1">
      <alignment horizontal="right" indent="2"/>
    </xf>
    <xf numFmtId="169" fontId="17" fillId="0" borderId="0" xfId="30" applyNumberFormat="1" applyFont="1" applyBorder="1"/>
    <xf numFmtId="0" fontId="21" fillId="0" borderId="0" xfId="40" applyFont="1"/>
    <xf numFmtId="0" fontId="19" fillId="0" borderId="0" xfId="40" applyFont="1"/>
    <xf numFmtId="166" fontId="19" fillId="0" borderId="0" xfId="40" applyNumberFormat="1" applyFont="1"/>
    <xf numFmtId="2" fontId="19" fillId="0" borderId="0" xfId="40" applyNumberFormat="1" applyFont="1"/>
    <xf numFmtId="0" fontId="19" fillId="0" borderId="0" xfId="40" applyFont="1" applyAlignment="1">
      <alignment horizontal="center"/>
    </xf>
    <xf numFmtId="0" fontId="19" fillId="0" borderId="12" xfId="40" applyFont="1" applyBorder="1"/>
    <xf numFmtId="0" fontId="19" fillId="0" borderId="12" xfId="40" applyFont="1" applyFill="1" applyBorder="1"/>
    <xf numFmtId="44" fontId="0" fillId="0" borderId="12" xfId="30" applyFont="1" applyBorder="1"/>
    <xf numFmtId="170" fontId="0" fillId="0" borderId="12" xfId="30" applyNumberFormat="1" applyFont="1" applyBorder="1"/>
    <xf numFmtId="0" fontId="0" fillId="0" borderId="0" xfId="0" applyFont="1" applyAlignment="1">
      <alignment wrapText="1"/>
    </xf>
    <xf numFmtId="170" fontId="0" fillId="35" borderId="12" xfId="30" applyNumberFormat="1" applyFont="1" applyFill="1" applyBorder="1"/>
    <xf numFmtId="2" fontId="19" fillId="35" borderId="12" xfId="40" applyNumberFormat="1" applyFont="1" applyFill="1" applyBorder="1" applyAlignment="1">
      <alignment horizontal="center"/>
    </xf>
    <xf numFmtId="166" fontId="19" fillId="35" borderId="12" xfId="40" applyNumberFormat="1" applyFont="1" applyFill="1" applyBorder="1" applyAlignment="1">
      <alignment horizontal="center"/>
    </xf>
    <xf numFmtId="0" fontId="19" fillId="0" borderId="0" xfId="40" applyFont="1" applyFill="1" applyBorder="1"/>
    <xf numFmtId="170" fontId="0" fillId="0" borderId="12" xfId="30" applyNumberFormat="1" applyFont="1" applyFill="1" applyBorder="1"/>
    <xf numFmtId="0" fontId="0" fillId="0" borderId="0" xfId="0" applyFont="1" applyBorder="1"/>
    <xf numFmtId="166" fontId="0" fillId="0" borderId="12" xfId="0" applyNumberFormat="1" applyFont="1" applyBorder="1"/>
    <xf numFmtId="0" fontId="21" fillId="0" borderId="12" xfId="40" applyFont="1" applyBorder="1"/>
    <xf numFmtId="0" fontId="21" fillId="0" borderId="12" xfId="40" applyFont="1" applyFill="1" applyBorder="1"/>
    <xf numFmtId="0" fontId="19" fillId="35" borderId="12" xfId="40" applyFont="1" applyFill="1" applyBorder="1"/>
    <xf numFmtId="9" fontId="19" fillId="35" borderId="12" xfId="40" applyNumberFormat="1" applyFont="1" applyFill="1" applyBorder="1"/>
    <xf numFmtId="0" fontId="0" fillId="0" borderId="0" xfId="0" applyFont="1" applyFill="1"/>
    <xf numFmtId="167" fontId="19" fillId="35" borderId="12" xfId="44" applyNumberFormat="1" applyFont="1" applyFill="1" applyBorder="1"/>
    <xf numFmtId="0" fontId="17" fillId="33" borderId="12" xfId="0" applyFont="1" applyFill="1" applyBorder="1" applyAlignment="1">
      <alignment horizontal="right" wrapText="1"/>
    </xf>
    <xf numFmtId="0" fontId="17" fillId="33" borderId="12" xfId="0" applyFont="1" applyFill="1" applyBorder="1" applyAlignment="1">
      <alignment horizontal="right" wrapText="1" readingOrder="1"/>
    </xf>
    <xf numFmtId="168" fontId="19" fillId="34" borderId="12" xfId="40" applyNumberFormat="1" applyFont="1" applyFill="1" applyBorder="1"/>
    <xf numFmtId="170" fontId="0" fillId="34" borderId="12" xfId="30" applyNumberFormat="1" applyFont="1" applyFill="1" applyBorder="1"/>
    <xf numFmtId="9" fontId="0" fillId="34" borderId="12" xfId="0" applyNumberFormat="1" applyFont="1" applyFill="1" applyBorder="1"/>
    <xf numFmtId="0" fontId="21" fillId="35" borderId="0" xfId="0" applyFont="1" applyFill="1" applyAlignment="1"/>
    <xf numFmtId="0" fontId="17" fillId="35" borderId="0" xfId="0" applyFont="1" applyFill="1" applyAlignment="1"/>
    <xf numFmtId="165" fontId="21" fillId="0" borderId="12" xfId="28" applyNumberFormat="1" applyFont="1" applyBorder="1" applyAlignment="1">
      <alignment horizontal="right"/>
    </xf>
    <xf numFmtId="165" fontId="21" fillId="0" borderId="12" xfId="28" applyNumberFormat="1" applyFont="1" applyBorder="1"/>
    <xf numFmtId="165" fontId="19" fillId="0" borderId="12" xfId="28" applyNumberFormat="1" applyFont="1" applyFill="1" applyBorder="1"/>
    <xf numFmtId="170" fontId="19" fillId="0" borderId="12" xfId="30" applyNumberFormat="1" applyFont="1" applyFill="1" applyBorder="1" applyAlignment="1">
      <alignment horizontal="center"/>
    </xf>
    <xf numFmtId="44" fontId="21" fillId="0" borderId="12" xfId="30" applyFont="1" applyBorder="1"/>
    <xf numFmtId="170" fontId="19" fillId="0" borderId="12" xfId="30" applyNumberFormat="1" applyFont="1" applyFill="1" applyBorder="1"/>
    <xf numFmtId="170" fontId="21" fillId="0" borderId="12" xfId="30" applyNumberFormat="1" applyFont="1" applyBorder="1"/>
    <xf numFmtId="165" fontId="0" fillId="0" borderId="12" xfId="28" applyNumberFormat="1" applyFont="1" applyFill="1" applyBorder="1"/>
    <xf numFmtId="165" fontId="17" fillId="0" borderId="12" xfId="28" applyNumberFormat="1" applyFont="1" applyFill="1" applyBorder="1"/>
    <xf numFmtId="165" fontId="21" fillId="0" borderId="12" xfId="28" applyNumberFormat="1" applyFont="1" applyFill="1" applyBorder="1"/>
    <xf numFmtId="43" fontId="0" fillId="0" borderId="12" xfId="28" applyNumberFormat="1" applyFont="1" applyFill="1" applyBorder="1"/>
    <xf numFmtId="43" fontId="0" fillId="0" borderId="0" xfId="0" applyNumberFormat="1" applyFont="1"/>
    <xf numFmtId="43" fontId="0" fillId="0" borderId="12" xfId="0" applyNumberFormat="1" applyFont="1" applyFill="1" applyBorder="1"/>
    <xf numFmtId="44" fontId="19" fillId="0" borderId="12" xfId="30" applyFont="1" applyBorder="1"/>
    <xf numFmtId="170" fontId="21" fillId="0" borderId="12" xfId="40" applyNumberFormat="1" applyFont="1" applyBorder="1"/>
    <xf numFmtId="170" fontId="21" fillId="0" borderId="12" xfId="30" applyNumberFormat="1" applyFont="1" applyFill="1" applyBorder="1"/>
    <xf numFmtId="0" fontId="0" fillId="0" borderId="12" xfId="0" applyBorder="1"/>
    <xf numFmtId="164" fontId="0" fillId="0" borderId="12" xfId="28" applyNumberFormat="1" applyFont="1" applyBorder="1"/>
    <xf numFmtId="43" fontId="19" fillId="0" borderId="12" xfId="40" applyNumberFormat="1" applyFont="1" applyBorder="1"/>
    <xf numFmtId="165" fontId="21" fillId="0" borderId="0" xfId="28" applyNumberFormat="1" applyFont="1" applyFill="1" applyBorder="1"/>
    <xf numFmtId="170" fontId="21" fillId="0" borderId="0" xfId="30" applyNumberFormat="1" applyFont="1" applyFill="1" applyBorder="1"/>
    <xf numFmtId="44" fontId="21" fillId="0" borderId="0" xfId="30" applyFont="1" applyBorder="1"/>
    <xf numFmtId="43" fontId="21" fillId="0" borderId="12" xfId="40" applyNumberFormat="1" applyFont="1" applyBorder="1"/>
    <xf numFmtId="0" fontId="20" fillId="0" borderId="12" xfId="0" applyFont="1" applyBorder="1"/>
    <xf numFmtId="170" fontId="0" fillId="0" borderId="12" xfId="0" applyNumberFormat="1" applyBorder="1"/>
    <xf numFmtId="170" fontId="17" fillId="0" borderId="12" xfId="30" applyNumberFormat="1" applyFont="1" applyBorder="1"/>
    <xf numFmtId="167" fontId="17" fillId="0" borderId="12" xfId="43" applyNumberFormat="1" applyFont="1" applyBorder="1"/>
    <xf numFmtId="170" fontId="17" fillId="0" borderId="12" xfId="0" applyNumberFormat="1" applyFont="1" applyBorder="1"/>
    <xf numFmtId="170" fontId="0" fillId="0" borderId="0" xfId="30" applyNumberFormat="1" applyFont="1" applyBorder="1"/>
    <xf numFmtId="9" fontId="0" fillId="35" borderId="12" xfId="43" applyFont="1" applyFill="1" applyBorder="1"/>
    <xf numFmtId="0" fontId="24" fillId="0" borderId="0" xfId="0" applyFont="1"/>
    <xf numFmtId="44" fontId="0" fillId="0" borderId="12" xfId="0" applyNumberFormat="1" applyBorder="1"/>
    <xf numFmtId="44" fontId="17" fillId="0" borderId="12" xfId="0" applyNumberFormat="1" applyFont="1" applyBorder="1"/>
    <xf numFmtId="9" fontId="0" fillId="0" borderId="0" xfId="0" applyNumberFormat="1" applyFont="1" applyFill="1" applyBorder="1"/>
    <xf numFmtId="167" fontId="0" fillId="35" borderId="12" xfId="0" applyNumberFormat="1" applyFont="1" applyFill="1" applyBorder="1"/>
    <xf numFmtId="0" fontId="0" fillId="0" borderId="12" xfId="0" applyFont="1" applyFill="1" applyBorder="1" applyAlignment="1">
      <alignment horizontal="left" wrapText="1" readingOrder="1"/>
    </xf>
    <xf numFmtId="0" fontId="0" fillId="0" borderId="0" xfId="0" applyFont="1" applyAlignment="1">
      <alignment horizontal="left" readingOrder="1"/>
    </xf>
    <xf numFmtId="0" fontId="0" fillId="35" borderId="12" xfId="0" applyFont="1" applyFill="1" applyBorder="1"/>
    <xf numFmtId="43" fontId="19" fillId="0" borderId="0" xfId="40" applyNumberFormat="1" applyFont="1" applyAlignment="1">
      <alignment horizontal="center"/>
    </xf>
    <xf numFmtId="167" fontId="0" fillId="0" borderId="12" xfId="0" applyNumberFormat="1" applyFont="1" applyFill="1" applyBorder="1"/>
    <xf numFmtId="0" fontId="24" fillId="34" borderId="0" xfId="0" applyFont="1" applyFill="1"/>
    <xf numFmtId="165" fontId="19" fillId="0" borderId="12" xfId="40" applyNumberFormat="1" applyFont="1" applyBorder="1"/>
    <xf numFmtId="0" fontId="0" fillId="0" borderId="12" xfId="0" applyFill="1" applyBorder="1"/>
    <xf numFmtId="43" fontId="0" fillId="0" borderId="12" xfId="0" applyNumberFormat="1" applyBorder="1"/>
    <xf numFmtId="167" fontId="0" fillId="0" borderId="12" xfId="43" applyNumberFormat="1" applyFont="1" applyFill="1" applyBorder="1"/>
    <xf numFmtId="0" fontId="25" fillId="34" borderId="0" xfId="0" applyFont="1" applyFill="1"/>
    <xf numFmtId="0" fontId="0" fillId="34" borderId="12" xfId="0" applyFont="1" applyFill="1" applyBorder="1" applyAlignment="1">
      <alignment horizontal="center"/>
    </xf>
    <xf numFmtId="0" fontId="0" fillId="34" borderId="12" xfId="0" applyFont="1" applyFill="1" applyBorder="1"/>
    <xf numFmtId="168" fontId="19" fillId="35" borderId="12" xfId="40" applyNumberFormat="1" applyFont="1" applyFill="1" applyBorder="1"/>
    <xf numFmtId="0" fontId="0" fillId="35" borderId="13" xfId="0" applyFont="1" applyFill="1" applyBorder="1" applyAlignment="1">
      <alignment horizontal="center"/>
    </xf>
    <xf numFmtId="0" fontId="0" fillId="35" borderId="1" xfId="0" applyFont="1" applyFill="1" applyBorder="1" applyAlignment="1">
      <alignment horizontal="center"/>
    </xf>
  </cellXfs>
  <cellStyles count="49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28" builtinId="3"/>
    <cellStyle name="Comma 2" xfId="29"/>
    <cellStyle name="Currency" xfId="30" builtinId="4"/>
    <cellStyle name="Explanatory Text" xfId="31" builtinId="53" customBuiltin="1"/>
    <cellStyle name="Good" xfId="32" builtinId="26" customBuiltin="1"/>
    <cellStyle name="Heading 1" xfId="33" builtinId="16" customBuiltin="1"/>
    <cellStyle name="Heading 2" xfId="34" builtinId="17" customBuiltin="1"/>
    <cellStyle name="Heading 3" xfId="35" builtinId="18" customBuiltin="1"/>
    <cellStyle name="Heading 4" xfId="36" builtinId="19" customBuiltin="1"/>
    <cellStyle name="Input" xfId="37" builtinId="20" customBuiltin="1"/>
    <cellStyle name="Linked Cell" xfId="38" builtinId="24" customBuiltin="1"/>
    <cellStyle name="Neutral" xfId="39" builtinId="28" customBuiltin="1"/>
    <cellStyle name="Normal" xfId="0" builtinId="0"/>
    <cellStyle name="Normal 2" xfId="40"/>
    <cellStyle name="Normal_Target Audience Space" xfId="48"/>
    <cellStyle name="Note" xfId="41" builtinId="10" customBuiltin="1"/>
    <cellStyle name="Output" xfId="42" builtinId="21" customBuiltin="1"/>
    <cellStyle name="Percent" xfId="43" builtinId="5"/>
    <cellStyle name="Percent 2" xfId="44"/>
    <cellStyle name="Title" xfId="45" builtinId="15" customBuiltin="1"/>
    <cellStyle name="Total" xfId="46" builtinId="25" customBuiltin="1"/>
    <cellStyle name="Warning Text" xfId="47" builtinId="11" customBuiltin="1"/>
  </cellStyles>
  <dxfs count="8"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"/>
  <sheetViews>
    <sheetView topLeftCell="A14" zoomScale="85" zoomScaleNormal="85" workbookViewId="0">
      <selection activeCell="C29" sqref="C29"/>
    </sheetView>
  </sheetViews>
  <sheetFormatPr defaultRowHeight="15" x14ac:dyDescent="0.25"/>
  <cols>
    <col min="1" max="1" width="25.28515625" style="1" bestFit="1" customWidth="1"/>
    <col min="2" max="2" width="25.7109375" style="1" customWidth="1"/>
    <col min="3" max="3" width="12.42578125" style="1" customWidth="1"/>
    <col min="4" max="4" width="11.85546875" style="1" customWidth="1"/>
    <col min="5" max="5" width="12.42578125" style="1" customWidth="1"/>
    <col min="6" max="6" width="9.140625" style="1"/>
    <col min="7" max="7" width="12.5703125" style="1" customWidth="1"/>
    <col min="8" max="8" width="11.5703125" style="1" customWidth="1"/>
    <col min="9" max="9" width="9.140625" style="1"/>
    <col min="10" max="10" width="17.140625" style="1" customWidth="1"/>
    <col min="11" max="12" width="9.140625" style="1"/>
    <col min="13" max="13" width="12.28515625" style="1" customWidth="1"/>
    <col min="14" max="16384" width="9.140625" style="1"/>
  </cols>
  <sheetData>
    <row r="1" spans="1:11" x14ac:dyDescent="0.25">
      <c r="A1" s="64" t="s">
        <v>43</v>
      </c>
    </row>
    <row r="2" spans="1:11" x14ac:dyDescent="0.25">
      <c r="B2" s="7"/>
      <c r="C2" s="18"/>
      <c r="D2" s="18"/>
      <c r="E2" s="18"/>
    </row>
    <row r="3" spans="1:11" x14ac:dyDescent="0.25">
      <c r="A3" s="65" t="s">
        <v>38</v>
      </c>
      <c r="B3" s="2"/>
      <c r="C3" s="2"/>
      <c r="D3" s="2"/>
      <c r="E3" s="2"/>
      <c r="G3" s="111" t="s">
        <v>124</v>
      </c>
    </row>
    <row r="4" spans="1:11" ht="30" x14ac:dyDescent="0.25">
      <c r="A4" s="3" t="s">
        <v>22</v>
      </c>
      <c r="B4" s="8" t="s">
        <v>25</v>
      </c>
      <c r="C4" s="3" t="s">
        <v>33</v>
      </c>
      <c r="D4" s="8" t="s">
        <v>32</v>
      </c>
      <c r="E4" s="3" t="s">
        <v>24</v>
      </c>
      <c r="F4" s="45"/>
      <c r="G4" s="6" t="s">
        <v>36</v>
      </c>
      <c r="H4" s="6" t="s">
        <v>37</v>
      </c>
      <c r="J4" s="6" t="s">
        <v>64</v>
      </c>
      <c r="K4" s="24">
        <v>12</v>
      </c>
    </row>
    <row r="5" spans="1:11" ht="15" customHeight="1" x14ac:dyDescent="0.25">
      <c r="A5" s="19" t="s">
        <v>26</v>
      </c>
      <c r="B5" s="101" t="s">
        <v>132</v>
      </c>
      <c r="C5" s="10">
        <v>1000</v>
      </c>
      <c r="D5" s="12">
        <f>C5/$C$27</f>
        <v>4.5454545454545456E-2</v>
      </c>
      <c r="E5" s="5">
        <f>SUM(C$3:C5)/$C$27</f>
        <v>4.5454545454545456E-2</v>
      </c>
      <c r="G5" s="13">
        <v>0</v>
      </c>
      <c r="H5" s="17">
        <v>0</v>
      </c>
    </row>
    <row r="6" spans="1:11" ht="15" customHeight="1" x14ac:dyDescent="0.25">
      <c r="A6" s="19" t="s">
        <v>26</v>
      </c>
      <c r="B6" s="102" t="s">
        <v>29</v>
      </c>
      <c r="C6" s="11">
        <v>1000</v>
      </c>
      <c r="D6" s="12">
        <f t="shared" ref="D6:D26" si="0">C6/$C$27</f>
        <v>4.5454545454545456E-2</v>
      </c>
      <c r="E6" s="5">
        <f>SUM(C$3:C6)/$C$27</f>
        <v>9.0909090909090912E-2</v>
      </c>
      <c r="G6" s="13">
        <v>0</v>
      </c>
      <c r="H6" s="17">
        <v>0</v>
      </c>
    </row>
    <row r="7" spans="1:11" ht="15" customHeight="1" x14ac:dyDescent="0.25">
      <c r="A7" s="19" t="s">
        <v>26</v>
      </c>
      <c r="B7" s="101" t="s">
        <v>30</v>
      </c>
      <c r="C7" s="11">
        <v>1000</v>
      </c>
      <c r="D7" s="12">
        <f t="shared" si="0"/>
        <v>4.5454545454545456E-2</v>
      </c>
      <c r="E7" s="5">
        <f>SUM(C$3:C7)/$C$27</f>
        <v>0.13636363636363635</v>
      </c>
      <c r="G7" s="13">
        <v>0</v>
      </c>
      <c r="H7" s="17">
        <v>0</v>
      </c>
    </row>
    <row r="8" spans="1:11" ht="15" customHeight="1" x14ac:dyDescent="0.25">
      <c r="A8" s="19" t="s">
        <v>26</v>
      </c>
      <c r="B8" s="101" t="s">
        <v>131</v>
      </c>
      <c r="C8" s="11">
        <v>1000</v>
      </c>
      <c r="D8" s="12">
        <f t="shared" si="0"/>
        <v>4.5454545454545456E-2</v>
      </c>
      <c r="E8" s="5">
        <f>SUM(C$3:C8)/$C$27</f>
        <v>0.18181818181818182</v>
      </c>
      <c r="G8" s="13">
        <v>0</v>
      </c>
      <c r="H8" s="17">
        <v>0</v>
      </c>
    </row>
    <row r="9" spans="1:11" ht="15" customHeight="1" x14ac:dyDescent="0.25">
      <c r="A9" s="19" t="s">
        <v>26</v>
      </c>
      <c r="B9" s="101" t="s">
        <v>31</v>
      </c>
      <c r="C9" s="11">
        <v>1000</v>
      </c>
      <c r="D9" s="12">
        <f t="shared" si="0"/>
        <v>4.5454545454545456E-2</v>
      </c>
      <c r="E9" s="5">
        <f>SUM(C$3:C9)/$C$27</f>
        <v>0.22727272727272727</v>
      </c>
      <c r="G9" s="13">
        <v>0</v>
      </c>
      <c r="H9" s="17">
        <v>0</v>
      </c>
    </row>
    <row r="10" spans="1:11" ht="15" customHeight="1" x14ac:dyDescent="0.25">
      <c r="A10" s="19" t="s">
        <v>26</v>
      </c>
      <c r="B10" s="101" t="s">
        <v>130</v>
      </c>
      <c r="C10" s="11">
        <v>1000</v>
      </c>
      <c r="D10" s="12">
        <f t="shared" si="0"/>
        <v>4.5454545454545456E-2</v>
      </c>
      <c r="E10" s="5">
        <f>SUM(C$3:C10)/$C$27</f>
        <v>0.27272727272727271</v>
      </c>
      <c r="G10" s="13">
        <v>0</v>
      </c>
      <c r="H10" s="17">
        <v>0</v>
      </c>
    </row>
    <row r="11" spans="1:11" ht="15" customHeight="1" x14ac:dyDescent="0.25">
      <c r="A11" s="19" t="s">
        <v>26</v>
      </c>
      <c r="B11" s="20" t="s">
        <v>28</v>
      </c>
      <c r="C11" s="11">
        <v>1000</v>
      </c>
      <c r="D11" s="12">
        <f t="shared" si="0"/>
        <v>4.5454545454545456E-2</v>
      </c>
      <c r="E11" s="5">
        <f>SUM(C$3:C11)/$C$27</f>
        <v>0.31818181818181818</v>
      </c>
      <c r="G11" s="13">
        <v>0</v>
      </c>
      <c r="H11" s="17">
        <v>0</v>
      </c>
    </row>
    <row r="12" spans="1:11" ht="15" customHeight="1" x14ac:dyDescent="0.25">
      <c r="A12" s="19" t="s">
        <v>27</v>
      </c>
      <c r="B12" s="101" t="s">
        <v>132</v>
      </c>
      <c r="C12" s="10">
        <v>1000</v>
      </c>
      <c r="D12" s="12">
        <f t="shared" si="0"/>
        <v>4.5454545454545456E-2</v>
      </c>
      <c r="E12" s="5">
        <f>SUM(C$3:C12)/$C$27</f>
        <v>0.36363636363636365</v>
      </c>
      <c r="G12" s="13">
        <v>0</v>
      </c>
      <c r="H12" s="17">
        <v>0</v>
      </c>
    </row>
    <row r="13" spans="1:11" ht="15" customHeight="1" x14ac:dyDescent="0.25">
      <c r="A13" s="19" t="s">
        <v>27</v>
      </c>
      <c r="B13" s="102" t="s">
        <v>29</v>
      </c>
      <c r="C13" s="11">
        <v>1000</v>
      </c>
      <c r="D13" s="12">
        <f t="shared" si="0"/>
        <v>4.5454545454545456E-2</v>
      </c>
      <c r="E13" s="5">
        <f>SUM(C$3:C13)/$C$27</f>
        <v>0.40909090909090912</v>
      </c>
      <c r="G13" s="13">
        <v>0</v>
      </c>
      <c r="H13" s="17">
        <v>0</v>
      </c>
    </row>
    <row r="14" spans="1:11" ht="15" customHeight="1" x14ac:dyDescent="0.25">
      <c r="A14" s="19" t="s">
        <v>27</v>
      </c>
      <c r="B14" s="101" t="s">
        <v>30</v>
      </c>
      <c r="C14" s="11">
        <v>1000</v>
      </c>
      <c r="D14" s="12">
        <f t="shared" si="0"/>
        <v>4.5454545454545456E-2</v>
      </c>
      <c r="E14" s="5">
        <f>SUM(C$3:C14)/$C$27</f>
        <v>0.45454545454545453</v>
      </c>
      <c r="G14" s="13">
        <v>0</v>
      </c>
      <c r="H14" s="17">
        <v>0</v>
      </c>
    </row>
    <row r="15" spans="1:11" ht="15" customHeight="1" x14ac:dyDescent="0.25">
      <c r="A15" s="19" t="s">
        <v>27</v>
      </c>
      <c r="B15" s="101" t="s">
        <v>131</v>
      </c>
      <c r="C15" s="11">
        <v>1000</v>
      </c>
      <c r="D15" s="12">
        <f t="shared" si="0"/>
        <v>4.5454545454545456E-2</v>
      </c>
      <c r="E15" s="5">
        <f>SUM(C$3:C15)/$C$27</f>
        <v>0.5</v>
      </c>
      <c r="G15" s="13">
        <v>0</v>
      </c>
      <c r="H15" s="17">
        <v>0</v>
      </c>
    </row>
    <row r="16" spans="1:11" ht="15" customHeight="1" x14ac:dyDescent="0.25">
      <c r="A16" s="19" t="s">
        <v>27</v>
      </c>
      <c r="B16" s="101" t="s">
        <v>31</v>
      </c>
      <c r="C16" s="11">
        <v>1000</v>
      </c>
      <c r="D16" s="12">
        <f t="shared" si="0"/>
        <v>4.5454545454545456E-2</v>
      </c>
      <c r="E16" s="5">
        <f>SUM(C$3:C16)/$C$27</f>
        <v>0.54545454545454541</v>
      </c>
      <c r="G16" s="13">
        <v>0</v>
      </c>
      <c r="H16" s="17">
        <v>0</v>
      </c>
    </row>
    <row r="17" spans="1:8" ht="15" customHeight="1" x14ac:dyDescent="0.25">
      <c r="A17" s="19" t="s">
        <v>27</v>
      </c>
      <c r="B17" s="101" t="s">
        <v>130</v>
      </c>
      <c r="C17" s="11">
        <v>1000</v>
      </c>
      <c r="D17" s="12">
        <f t="shared" si="0"/>
        <v>4.5454545454545456E-2</v>
      </c>
      <c r="E17" s="5">
        <f>SUM(C$3:C17)/$C$27</f>
        <v>0.59090909090909094</v>
      </c>
      <c r="G17" s="13">
        <v>0</v>
      </c>
      <c r="H17" s="17">
        <v>0</v>
      </c>
    </row>
    <row r="18" spans="1:8" ht="15" customHeight="1" x14ac:dyDescent="0.25">
      <c r="A18" s="19" t="s">
        <v>27</v>
      </c>
      <c r="B18" s="20" t="s">
        <v>28</v>
      </c>
      <c r="C18" s="11">
        <v>1000</v>
      </c>
      <c r="D18" s="12">
        <f t="shared" si="0"/>
        <v>4.5454545454545456E-2</v>
      </c>
      <c r="E18" s="5">
        <f>SUM(C$3:C18)/$C$27</f>
        <v>0.63636363636363635</v>
      </c>
      <c r="G18" s="13">
        <v>0</v>
      </c>
      <c r="H18" s="17">
        <v>0</v>
      </c>
    </row>
    <row r="19" spans="1:8" ht="15" customHeight="1" x14ac:dyDescent="0.25">
      <c r="A19" s="19" t="s">
        <v>23</v>
      </c>
      <c r="B19" s="101" t="s">
        <v>132</v>
      </c>
      <c r="C19" s="10">
        <v>1000</v>
      </c>
      <c r="D19" s="12">
        <f t="shared" si="0"/>
        <v>4.5454545454545456E-2</v>
      </c>
      <c r="E19" s="5">
        <f>SUM(C$3:C19)/$C$27</f>
        <v>0.68181818181818177</v>
      </c>
      <c r="G19" s="13">
        <v>0</v>
      </c>
      <c r="H19" s="17">
        <v>0</v>
      </c>
    </row>
    <row r="20" spans="1:8" ht="15" customHeight="1" x14ac:dyDescent="0.25">
      <c r="A20" s="19" t="s">
        <v>23</v>
      </c>
      <c r="B20" s="102" t="s">
        <v>29</v>
      </c>
      <c r="C20" s="11">
        <v>1000</v>
      </c>
      <c r="D20" s="12">
        <f t="shared" si="0"/>
        <v>4.5454545454545456E-2</v>
      </c>
      <c r="E20" s="5">
        <f>SUM(C$3:C20)/$C$27</f>
        <v>0.72727272727272729</v>
      </c>
      <c r="G20" s="13">
        <v>0</v>
      </c>
      <c r="H20" s="17">
        <v>0</v>
      </c>
    </row>
    <row r="21" spans="1:8" ht="15" customHeight="1" x14ac:dyDescent="0.25">
      <c r="A21" s="19" t="s">
        <v>23</v>
      </c>
      <c r="B21" s="101" t="s">
        <v>30</v>
      </c>
      <c r="C21" s="10">
        <v>1000</v>
      </c>
      <c r="D21" s="12">
        <f t="shared" si="0"/>
        <v>4.5454545454545456E-2</v>
      </c>
      <c r="E21" s="5">
        <f>SUM(C$3:C21)/$C$27</f>
        <v>0.77272727272727271</v>
      </c>
      <c r="G21" s="13">
        <v>0</v>
      </c>
      <c r="H21" s="17">
        <v>0</v>
      </c>
    </row>
    <row r="22" spans="1:8" ht="15" customHeight="1" x14ac:dyDescent="0.25">
      <c r="A22" s="19" t="s">
        <v>23</v>
      </c>
      <c r="B22" s="101" t="s">
        <v>131</v>
      </c>
      <c r="C22" s="11">
        <v>1000</v>
      </c>
      <c r="D22" s="12">
        <f t="shared" si="0"/>
        <v>4.5454545454545456E-2</v>
      </c>
      <c r="E22" s="5">
        <f>SUM(C$3:C22)/$C$27</f>
        <v>0.81818181818181823</v>
      </c>
      <c r="G22" s="13">
        <v>0</v>
      </c>
      <c r="H22" s="17">
        <v>0</v>
      </c>
    </row>
    <row r="23" spans="1:8" ht="15" customHeight="1" x14ac:dyDescent="0.25">
      <c r="A23" s="19" t="s">
        <v>23</v>
      </c>
      <c r="B23" s="101" t="s">
        <v>31</v>
      </c>
      <c r="C23" s="11">
        <v>1000</v>
      </c>
      <c r="D23" s="12">
        <f t="shared" si="0"/>
        <v>4.5454545454545456E-2</v>
      </c>
      <c r="E23" s="5">
        <f>SUM(C$3:C23)/$C$27</f>
        <v>0.86363636363636365</v>
      </c>
      <c r="G23" s="13">
        <v>0</v>
      </c>
      <c r="H23" s="17">
        <v>0</v>
      </c>
    </row>
    <row r="24" spans="1:8" ht="15" customHeight="1" x14ac:dyDescent="0.25">
      <c r="A24" s="19" t="s">
        <v>23</v>
      </c>
      <c r="B24" s="101" t="s">
        <v>130</v>
      </c>
      <c r="C24" s="11">
        <v>1000</v>
      </c>
      <c r="D24" s="12">
        <f t="shared" si="0"/>
        <v>4.5454545454545456E-2</v>
      </c>
      <c r="E24" s="5">
        <f>SUM(C$3:C24)/$C$27</f>
        <v>0.90909090909090906</v>
      </c>
      <c r="G24" s="13">
        <v>0</v>
      </c>
      <c r="H24" s="17">
        <v>0</v>
      </c>
    </row>
    <row r="25" spans="1:8" ht="15" customHeight="1" x14ac:dyDescent="0.25">
      <c r="A25" s="19" t="s">
        <v>23</v>
      </c>
      <c r="B25" s="20" t="s">
        <v>28</v>
      </c>
      <c r="C25" s="11">
        <v>1000</v>
      </c>
      <c r="D25" s="12">
        <f t="shared" si="0"/>
        <v>4.5454545454545456E-2</v>
      </c>
      <c r="E25" s="5">
        <f>SUM(C$3:C25)/$C$27</f>
        <v>0.95454545454545459</v>
      </c>
      <c r="G25" s="13">
        <v>0</v>
      </c>
      <c r="H25" s="17">
        <v>0</v>
      </c>
    </row>
    <row r="26" spans="1:8" ht="15" customHeight="1" x14ac:dyDescent="0.25">
      <c r="A26" s="19" t="s">
        <v>28</v>
      </c>
      <c r="B26" s="20" t="s">
        <v>28</v>
      </c>
      <c r="C26" s="10">
        <v>1000</v>
      </c>
      <c r="D26" s="12">
        <f t="shared" si="0"/>
        <v>4.5454545454545456E-2</v>
      </c>
      <c r="E26" s="5">
        <f>SUM(C$3:C26)/$C$27</f>
        <v>1</v>
      </c>
      <c r="G26" s="13">
        <v>0</v>
      </c>
      <c r="H26" s="17">
        <v>0</v>
      </c>
    </row>
    <row r="27" spans="1:8" x14ac:dyDescent="0.25">
      <c r="A27" s="4" t="s">
        <v>20</v>
      </c>
      <c r="B27" s="9"/>
      <c r="C27" s="27">
        <f>SUM(C5:C26)</f>
        <v>22000</v>
      </c>
      <c r="D27" s="28"/>
      <c r="E27" s="29"/>
      <c r="F27" s="15"/>
      <c r="G27" s="30">
        <f>SUM(G5:G26)</f>
        <v>0</v>
      </c>
      <c r="H27" s="30">
        <f>SUM(H5:H26)</f>
        <v>0</v>
      </c>
    </row>
    <row r="28" spans="1:8" x14ac:dyDescent="0.25">
      <c r="A28" s="32"/>
      <c r="B28" s="32"/>
      <c r="C28" s="33"/>
      <c r="D28" s="33"/>
      <c r="E28" s="34"/>
      <c r="F28" s="15"/>
      <c r="G28" s="35"/>
      <c r="H28" s="35"/>
    </row>
    <row r="29" spans="1:8" x14ac:dyDescent="0.25">
      <c r="A29" s="16" t="s">
        <v>39</v>
      </c>
      <c r="B29" s="32"/>
      <c r="C29" s="33"/>
      <c r="D29" s="33"/>
      <c r="E29" s="34"/>
      <c r="F29" s="15"/>
      <c r="G29" s="35"/>
      <c r="H29" s="35"/>
    </row>
    <row r="30" spans="1:8" x14ac:dyDescent="0.25">
      <c r="A30" t="s">
        <v>40</v>
      </c>
      <c r="B30" s="32"/>
      <c r="C30" s="33"/>
      <c r="D30" s="33"/>
      <c r="E30" s="34"/>
      <c r="F30" s="15"/>
      <c r="G30" s="35"/>
      <c r="H30" s="35"/>
    </row>
    <row r="31" spans="1:8" x14ac:dyDescent="0.25">
      <c r="A31" t="s">
        <v>41</v>
      </c>
      <c r="B31" s="32"/>
      <c r="C31" s="33"/>
      <c r="D31" s="33"/>
      <c r="E31" s="34"/>
      <c r="F31" s="15"/>
      <c r="G31" s="35"/>
      <c r="H31" s="35"/>
    </row>
    <row r="32" spans="1:8" x14ac:dyDescent="0.25">
      <c r="A32"/>
    </row>
    <row r="33" spans="1:12" x14ac:dyDescent="0.25">
      <c r="A33" s="65" t="s">
        <v>42</v>
      </c>
      <c r="C33" s="115" t="s">
        <v>1</v>
      </c>
      <c r="D33" s="116"/>
      <c r="E33" s="116"/>
      <c r="F33" s="116"/>
      <c r="G33" s="116"/>
      <c r="H33" s="116"/>
    </row>
    <row r="34" spans="1:12" ht="75" x14ac:dyDescent="0.25">
      <c r="A34" s="8" t="s">
        <v>25</v>
      </c>
      <c r="B34" s="22" t="s">
        <v>34</v>
      </c>
      <c r="C34" s="6" t="s">
        <v>84</v>
      </c>
      <c r="D34" s="6" t="s">
        <v>85</v>
      </c>
      <c r="E34" s="6" t="s">
        <v>88</v>
      </c>
      <c r="F34" s="6" t="s">
        <v>83</v>
      </c>
      <c r="G34" s="6" t="s">
        <v>87</v>
      </c>
      <c r="H34" s="6" t="s">
        <v>86</v>
      </c>
      <c r="I34" s="6" t="s">
        <v>19</v>
      </c>
      <c r="J34" s="21" t="s">
        <v>159</v>
      </c>
      <c r="K34" s="22" t="s">
        <v>35</v>
      </c>
      <c r="L34" s="6" t="s">
        <v>5</v>
      </c>
    </row>
    <row r="35" spans="1:12" x14ac:dyDescent="0.25">
      <c r="A35" s="101" t="s">
        <v>132</v>
      </c>
      <c r="B35" s="23">
        <f t="shared" ref="B35:B40" si="1">SUM(C5,C12,C19)</f>
        <v>3000</v>
      </c>
      <c r="C35" s="24">
        <v>12</v>
      </c>
      <c r="D35" s="24">
        <v>12</v>
      </c>
      <c r="E35" s="24">
        <v>0</v>
      </c>
      <c r="F35" s="24">
        <v>4</v>
      </c>
      <c r="G35" s="24">
        <v>2</v>
      </c>
      <c r="H35" s="24">
        <v>24</v>
      </c>
      <c r="I35" s="25">
        <f>SUM(C35:G35)+H35*J35</f>
        <v>42</v>
      </c>
      <c r="J35" s="31">
        <v>0.5</v>
      </c>
      <c r="K35" s="24">
        <v>15</v>
      </c>
      <c r="L35" s="25">
        <f t="shared" ref="L35:L41" si="2">I35+K35</f>
        <v>57</v>
      </c>
    </row>
    <row r="36" spans="1:12" x14ac:dyDescent="0.25">
      <c r="A36" s="102" t="s">
        <v>29</v>
      </c>
      <c r="B36" s="23">
        <f t="shared" si="1"/>
        <v>3000</v>
      </c>
      <c r="C36" s="24">
        <v>6</v>
      </c>
      <c r="D36" s="24">
        <v>12</v>
      </c>
      <c r="E36" s="24">
        <v>0</v>
      </c>
      <c r="F36" s="24">
        <v>4</v>
      </c>
      <c r="G36" s="24">
        <v>2</v>
      </c>
      <c r="H36" s="24">
        <v>24</v>
      </c>
      <c r="I36" s="25">
        <f t="shared" ref="I36:I41" si="3">SUM(C36:G36)+H36*J36</f>
        <v>36</v>
      </c>
      <c r="J36" s="31">
        <v>0.5</v>
      </c>
      <c r="K36" s="24">
        <v>8</v>
      </c>
      <c r="L36" s="25">
        <f t="shared" si="2"/>
        <v>44</v>
      </c>
    </row>
    <row r="37" spans="1:12" x14ac:dyDescent="0.25">
      <c r="A37" s="101" t="s">
        <v>30</v>
      </c>
      <c r="B37" s="23">
        <f t="shared" si="1"/>
        <v>3000</v>
      </c>
      <c r="C37" s="24">
        <v>4</v>
      </c>
      <c r="D37" s="24">
        <v>8</v>
      </c>
      <c r="E37" s="24">
        <v>4</v>
      </c>
      <c r="F37" s="24">
        <v>4</v>
      </c>
      <c r="G37" s="24">
        <v>2</v>
      </c>
      <c r="H37" s="24">
        <v>12</v>
      </c>
      <c r="I37" s="25">
        <f t="shared" si="3"/>
        <v>28</v>
      </c>
      <c r="J37" s="31">
        <v>0.5</v>
      </c>
      <c r="K37" s="24">
        <v>6</v>
      </c>
      <c r="L37" s="25">
        <f t="shared" si="2"/>
        <v>34</v>
      </c>
    </row>
    <row r="38" spans="1:12" x14ac:dyDescent="0.25">
      <c r="A38" s="101" t="s">
        <v>131</v>
      </c>
      <c r="B38" s="23">
        <f t="shared" si="1"/>
        <v>3000</v>
      </c>
      <c r="C38" s="24">
        <v>2</v>
      </c>
      <c r="D38" s="24">
        <v>4</v>
      </c>
      <c r="E38" s="24">
        <v>4</v>
      </c>
      <c r="F38" s="24">
        <v>4</v>
      </c>
      <c r="G38" s="24">
        <v>2</v>
      </c>
      <c r="H38" s="24">
        <v>12</v>
      </c>
      <c r="I38" s="25">
        <f t="shared" si="3"/>
        <v>22</v>
      </c>
      <c r="J38" s="31">
        <v>0.5</v>
      </c>
      <c r="K38" s="24">
        <v>2</v>
      </c>
      <c r="L38" s="25">
        <f t="shared" si="2"/>
        <v>24</v>
      </c>
    </row>
    <row r="39" spans="1:12" x14ac:dyDescent="0.25">
      <c r="A39" s="101" t="s">
        <v>31</v>
      </c>
      <c r="B39" s="23">
        <f t="shared" si="1"/>
        <v>3000</v>
      </c>
      <c r="C39" s="24">
        <v>1</v>
      </c>
      <c r="D39" s="24">
        <v>2</v>
      </c>
      <c r="E39" s="24">
        <v>4</v>
      </c>
      <c r="F39" s="24">
        <v>4</v>
      </c>
      <c r="G39" s="24">
        <v>2</v>
      </c>
      <c r="H39" s="24">
        <v>12</v>
      </c>
      <c r="I39" s="25">
        <f t="shared" si="3"/>
        <v>19</v>
      </c>
      <c r="J39" s="31">
        <v>0.5</v>
      </c>
      <c r="K39" s="24">
        <v>0</v>
      </c>
      <c r="L39" s="25">
        <f t="shared" si="2"/>
        <v>19</v>
      </c>
    </row>
    <row r="40" spans="1:12" x14ac:dyDescent="0.25">
      <c r="A40" s="101" t="s">
        <v>130</v>
      </c>
      <c r="B40" s="23">
        <f t="shared" si="1"/>
        <v>3000</v>
      </c>
      <c r="C40" s="24">
        <v>0</v>
      </c>
      <c r="D40" s="24">
        <v>4</v>
      </c>
      <c r="E40" s="24">
        <v>4</v>
      </c>
      <c r="F40" s="24">
        <v>4</v>
      </c>
      <c r="G40" s="24">
        <v>0</v>
      </c>
      <c r="H40" s="24">
        <v>12</v>
      </c>
      <c r="I40" s="25">
        <f t="shared" si="3"/>
        <v>18</v>
      </c>
      <c r="J40" s="31">
        <v>0.5</v>
      </c>
      <c r="K40" s="24">
        <v>0</v>
      </c>
      <c r="L40" s="25">
        <f t="shared" si="2"/>
        <v>18</v>
      </c>
    </row>
    <row r="41" spans="1:12" x14ac:dyDescent="0.25">
      <c r="A41" s="101" t="s">
        <v>28</v>
      </c>
      <c r="B41" s="23">
        <f>SUM(C11,C18,C25,C26)</f>
        <v>4000</v>
      </c>
      <c r="C41" s="24">
        <v>2</v>
      </c>
      <c r="D41" s="24">
        <v>6</v>
      </c>
      <c r="E41" s="24">
        <v>6</v>
      </c>
      <c r="F41" s="24">
        <v>4</v>
      </c>
      <c r="G41" s="24">
        <v>2</v>
      </c>
      <c r="H41" s="24">
        <v>24</v>
      </c>
      <c r="I41" s="25">
        <f t="shared" si="3"/>
        <v>38</v>
      </c>
      <c r="J41" s="31">
        <v>0.75</v>
      </c>
      <c r="K41" s="24">
        <v>0</v>
      </c>
      <c r="L41" s="25">
        <f t="shared" si="2"/>
        <v>38</v>
      </c>
    </row>
    <row r="48" spans="1:12" x14ac:dyDescent="0.25">
      <c r="A48"/>
    </row>
    <row r="49" spans="1:1" x14ac:dyDescent="0.25">
      <c r="A49"/>
    </row>
    <row r="50" spans="1:1" x14ac:dyDescent="0.25">
      <c r="A50"/>
    </row>
  </sheetData>
  <mergeCells count="1">
    <mergeCell ref="C33:H3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7"/>
  <sheetViews>
    <sheetView workbookViewId="0">
      <selection activeCell="B20" sqref="B20"/>
    </sheetView>
  </sheetViews>
  <sheetFormatPr defaultRowHeight="15" x14ac:dyDescent="0.25"/>
  <cols>
    <col min="1" max="1" width="34" style="1" customWidth="1"/>
    <col min="2" max="2" width="11.5703125" style="1" bestFit="1" customWidth="1"/>
    <col min="3" max="3" width="15.42578125" style="1" customWidth="1"/>
    <col min="4" max="4" width="12.42578125" style="1" customWidth="1"/>
    <col min="5" max="5" width="25.28515625" style="1" customWidth="1"/>
    <col min="6" max="6" width="16.28515625" style="1" customWidth="1"/>
    <col min="7" max="7" width="20.85546875" style="1" customWidth="1"/>
    <col min="8" max="8" width="15.7109375" style="1" customWidth="1"/>
    <col min="9" max="10" width="17.140625" style="1" customWidth="1"/>
    <col min="11" max="11" width="15.85546875" style="1" customWidth="1"/>
    <col min="12" max="16384" width="9.140625" style="1"/>
  </cols>
  <sheetData>
    <row r="1" spans="1:8" x14ac:dyDescent="0.25">
      <c r="A1" s="65" t="s">
        <v>54</v>
      </c>
    </row>
    <row r="2" spans="1:8" x14ac:dyDescent="0.25">
      <c r="B2" s="37"/>
      <c r="C2" s="37"/>
      <c r="D2" s="37"/>
      <c r="E2" s="39"/>
      <c r="F2" s="37"/>
      <c r="G2" s="37"/>
      <c r="H2" s="40"/>
    </row>
    <row r="3" spans="1:8" x14ac:dyDescent="0.25">
      <c r="A3" s="65" t="s">
        <v>55</v>
      </c>
      <c r="B3" s="37"/>
      <c r="C3" s="37"/>
      <c r="D3" s="37"/>
      <c r="E3" s="39"/>
      <c r="F3" s="37"/>
      <c r="G3" s="37"/>
      <c r="H3" s="40"/>
    </row>
    <row r="4" spans="1:8" ht="45" x14ac:dyDescent="0.25">
      <c r="A4" s="8" t="s">
        <v>44</v>
      </c>
      <c r="B4" s="22" t="s">
        <v>58</v>
      </c>
      <c r="C4" s="6" t="s">
        <v>48</v>
      </c>
      <c r="E4" s="8" t="s">
        <v>50</v>
      </c>
      <c r="F4" s="22" t="s">
        <v>51</v>
      </c>
      <c r="G4" s="6" t="s">
        <v>52</v>
      </c>
      <c r="H4" s="6" t="s">
        <v>53</v>
      </c>
    </row>
    <row r="5" spans="1:8" x14ac:dyDescent="0.25">
      <c r="A5" s="41" t="s">
        <v>177</v>
      </c>
      <c r="B5" s="62">
        <v>80000</v>
      </c>
      <c r="C5" s="63">
        <v>0.2</v>
      </c>
      <c r="E5" s="47">
        <v>0.2</v>
      </c>
      <c r="F5" s="48">
        <v>2</v>
      </c>
      <c r="G5" s="47">
        <v>0.2</v>
      </c>
      <c r="H5" s="48">
        <v>12</v>
      </c>
    </row>
    <row r="6" spans="1:8" x14ac:dyDescent="0.25">
      <c r="A6" s="41" t="s">
        <v>45</v>
      </c>
      <c r="B6" s="62">
        <v>70000</v>
      </c>
      <c r="C6" s="63">
        <v>0.2</v>
      </c>
      <c r="E6" s="47">
        <v>0.2</v>
      </c>
      <c r="F6" s="48">
        <v>2</v>
      </c>
      <c r="G6" s="47">
        <v>0.1</v>
      </c>
      <c r="H6" s="48">
        <v>12</v>
      </c>
    </row>
    <row r="7" spans="1:8" x14ac:dyDescent="0.25">
      <c r="A7" s="41" t="s">
        <v>46</v>
      </c>
      <c r="B7" s="62">
        <v>100000</v>
      </c>
      <c r="C7" s="63">
        <v>0.2</v>
      </c>
      <c r="E7" s="47">
        <v>0.2</v>
      </c>
      <c r="F7" s="48">
        <v>1</v>
      </c>
      <c r="G7" s="47">
        <v>0.1</v>
      </c>
      <c r="H7" s="48">
        <v>12</v>
      </c>
    </row>
    <row r="8" spans="1:8" x14ac:dyDescent="0.25">
      <c r="A8" s="41" t="s">
        <v>47</v>
      </c>
      <c r="B8" s="62">
        <v>40000</v>
      </c>
      <c r="C8" s="63">
        <v>0.2</v>
      </c>
      <c r="E8" s="47">
        <v>0.2</v>
      </c>
      <c r="F8" s="48">
        <v>2</v>
      </c>
      <c r="G8" s="47">
        <v>0.2</v>
      </c>
      <c r="H8" s="48">
        <v>12</v>
      </c>
    </row>
    <row r="9" spans="1:8" x14ac:dyDescent="0.25">
      <c r="A9" s="41" t="s">
        <v>12</v>
      </c>
      <c r="B9" s="62">
        <v>90000</v>
      </c>
      <c r="C9" s="63">
        <v>0.2</v>
      </c>
      <c r="E9" s="47">
        <v>0.4</v>
      </c>
      <c r="F9" s="48">
        <v>1</v>
      </c>
      <c r="G9" s="47">
        <v>0.25</v>
      </c>
      <c r="H9" s="48">
        <v>12</v>
      </c>
    </row>
    <row r="10" spans="1:8" x14ac:dyDescent="0.25">
      <c r="A10" s="41" t="s">
        <v>13</v>
      </c>
      <c r="B10" s="62">
        <v>60000</v>
      </c>
      <c r="C10" s="63">
        <v>0.2</v>
      </c>
      <c r="E10" s="47">
        <v>0.25</v>
      </c>
      <c r="F10" s="48">
        <v>1</v>
      </c>
      <c r="G10" s="47">
        <v>0.25</v>
      </c>
      <c r="H10" s="48">
        <v>12</v>
      </c>
    </row>
    <row r="11" spans="1:8" x14ac:dyDescent="0.25">
      <c r="A11" s="41" t="s">
        <v>178</v>
      </c>
      <c r="B11" s="62">
        <v>50000</v>
      </c>
      <c r="C11" s="63">
        <v>0.2</v>
      </c>
      <c r="E11" s="47">
        <v>0.1</v>
      </c>
      <c r="F11" s="48">
        <v>0.5</v>
      </c>
      <c r="G11" s="47">
        <v>0.05</v>
      </c>
      <c r="H11" s="48">
        <v>12</v>
      </c>
    </row>
    <row r="12" spans="1:8" x14ac:dyDescent="0.25">
      <c r="A12" s="41" t="s">
        <v>15</v>
      </c>
      <c r="B12" s="62">
        <v>75000</v>
      </c>
      <c r="C12" s="63">
        <v>0.2</v>
      </c>
      <c r="E12" s="47">
        <v>0.2</v>
      </c>
      <c r="F12" s="48">
        <v>1</v>
      </c>
      <c r="G12" s="47">
        <v>0.05</v>
      </c>
      <c r="H12" s="48">
        <v>12</v>
      </c>
    </row>
    <row r="13" spans="1:8" x14ac:dyDescent="0.25">
      <c r="A13" s="41" t="s">
        <v>106</v>
      </c>
      <c r="B13" s="62">
        <v>40000</v>
      </c>
      <c r="C13" s="63">
        <v>0.2</v>
      </c>
      <c r="E13" s="47">
        <v>0.1</v>
      </c>
      <c r="F13" s="48">
        <v>0.5</v>
      </c>
      <c r="G13" s="47">
        <v>0.1</v>
      </c>
      <c r="H13" s="48">
        <v>12</v>
      </c>
    </row>
    <row r="14" spans="1:8" x14ac:dyDescent="0.25">
      <c r="A14" s="42" t="s">
        <v>28</v>
      </c>
      <c r="B14" s="46">
        <v>50000</v>
      </c>
      <c r="C14" s="31">
        <v>0.2</v>
      </c>
      <c r="E14" s="47">
        <v>0</v>
      </c>
      <c r="F14" s="48">
        <v>0</v>
      </c>
      <c r="G14" s="47">
        <v>0</v>
      </c>
      <c r="H14" s="48">
        <v>12</v>
      </c>
    </row>
    <row r="16" spans="1:8" ht="30" x14ac:dyDescent="0.25">
      <c r="A16" s="8" t="s">
        <v>55</v>
      </c>
      <c r="B16" s="22" t="s">
        <v>62</v>
      </c>
      <c r="C16"/>
      <c r="E16" s="106" t="s">
        <v>155</v>
      </c>
    </row>
    <row r="17" spans="1:9" ht="60" x14ac:dyDescent="0.25">
      <c r="A17" s="41" t="s">
        <v>49</v>
      </c>
      <c r="B17" s="50">
        <f>'MMC Cost Estimates'!C14</f>
        <v>16650</v>
      </c>
      <c r="C17"/>
      <c r="E17" s="8" t="s">
        <v>167</v>
      </c>
      <c r="F17" s="6" t="s">
        <v>154</v>
      </c>
      <c r="G17" s="6" t="s">
        <v>176</v>
      </c>
      <c r="H17" s="22" t="s">
        <v>166</v>
      </c>
      <c r="I17"/>
    </row>
    <row r="18" spans="1:9" x14ac:dyDescent="0.25">
      <c r="A18" s="41" t="s">
        <v>61</v>
      </c>
      <c r="B18" s="50">
        <f>'MMC Cost Estimates'!E14</f>
        <v>106500</v>
      </c>
      <c r="C18"/>
      <c r="E18" s="112" t="s">
        <v>168</v>
      </c>
      <c r="F18" s="113" t="s">
        <v>160</v>
      </c>
      <c r="G18" s="113" t="s">
        <v>161</v>
      </c>
      <c r="H18" s="62">
        <v>28000</v>
      </c>
    </row>
    <row r="19" spans="1:9" x14ac:dyDescent="0.25">
      <c r="A19" s="41" t="s">
        <v>129</v>
      </c>
      <c r="B19" s="46">
        <v>8000</v>
      </c>
      <c r="C19"/>
      <c r="E19" s="112" t="s">
        <v>169</v>
      </c>
      <c r="F19" s="113" t="s">
        <v>160</v>
      </c>
      <c r="G19" s="113" t="s">
        <v>162</v>
      </c>
      <c r="H19" s="62">
        <v>35000</v>
      </c>
    </row>
    <row r="20" spans="1:9" x14ac:dyDescent="0.25">
      <c r="C20"/>
      <c r="E20" s="112" t="s">
        <v>170</v>
      </c>
      <c r="F20" s="113" t="s">
        <v>164</v>
      </c>
      <c r="G20" s="113" t="s">
        <v>163</v>
      </c>
      <c r="H20" s="62">
        <v>44000</v>
      </c>
    </row>
    <row r="21" spans="1:9" x14ac:dyDescent="0.25">
      <c r="A21" s="65" t="s">
        <v>56</v>
      </c>
      <c r="E21" s="112" t="s">
        <v>171</v>
      </c>
      <c r="F21" s="113" t="s">
        <v>164</v>
      </c>
      <c r="G21" s="113" t="s">
        <v>162</v>
      </c>
      <c r="H21" s="62">
        <v>45000</v>
      </c>
    </row>
    <row r="22" spans="1:9" ht="36" customHeight="1" x14ac:dyDescent="0.25">
      <c r="A22" s="8" t="s">
        <v>65</v>
      </c>
      <c r="B22" s="22" t="s">
        <v>142</v>
      </c>
      <c r="C22" s="6" t="s">
        <v>143</v>
      </c>
      <c r="E22" s="112" t="s">
        <v>172</v>
      </c>
      <c r="F22" s="113" t="s">
        <v>164</v>
      </c>
      <c r="G22" s="113" t="s">
        <v>163</v>
      </c>
      <c r="H22" s="62">
        <v>65000</v>
      </c>
    </row>
    <row r="23" spans="1:9" x14ac:dyDescent="0.25">
      <c r="A23" s="41" t="s">
        <v>139</v>
      </c>
      <c r="B23" s="55">
        <v>22</v>
      </c>
      <c r="C23" s="55">
        <v>22</v>
      </c>
      <c r="E23" s="112" t="s">
        <v>173</v>
      </c>
      <c r="F23" s="113" t="s">
        <v>160</v>
      </c>
      <c r="G23" s="113" t="s">
        <v>161</v>
      </c>
      <c r="H23" s="62">
        <v>28000</v>
      </c>
    </row>
    <row r="24" spans="1:9" x14ac:dyDescent="0.25">
      <c r="A24" s="41" t="s">
        <v>140</v>
      </c>
      <c r="B24" s="55">
        <v>100</v>
      </c>
      <c r="C24" s="55">
        <v>150</v>
      </c>
      <c r="E24" s="112" t="s">
        <v>174</v>
      </c>
      <c r="F24" s="113" t="s">
        <v>160</v>
      </c>
      <c r="G24" s="113" t="s">
        <v>161</v>
      </c>
      <c r="H24" s="62">
        <v>24000</v>
      </c>
    </row>
    <row r="25" spans="1:9" x14ac:dyDescent="0.25">
      <c r="A25" s="41" t="s">
        <v>59</v>
      </c>
      <c r="B25" s="56">
        <v>0.33</v>
      </c>
      <c r="C25" s="56">
        <v>0.67</v>
      </c>
      <c r="E25" s="112" t="s">
        <v>175</v>
      </c>
      <c r="F25" s="113" t="s">
        <v>164</v>
      </c>
      <c r="G25" s="113" t="s">
        <v>165</v>
      </c>
      <c r="H25" s="62">
        <v>80000</v>
      </c>
    </row>
    <row r="26" spans="1:9" x14ac:dyDescent="0.25">
      <c r="A26" s="41" t="s">
        <v>141</v>
      </c>
      <c r="B26" s="42">
        <f>B25*B24</f>
        <v>33</v>
      </c>
      <c r="C26" s="42">
        <f>C25*C24</f>
        <v>100.5</v>
      </c>
      <c r="E26"/>
      <c r="F26"/>
      <c r="G26"/>
      <c r="H26"/>
    </row>
    <row r="27" spans="1:9" x14ac:dyDescent="0.25">
      <c r="A27" s="41" t="s">
        <v>10</v>
      </c>
      <c r="B27" s="52">
        <f>B24/B26</f>
        <v>3.0303030303030303</v>
      </c>
      <c r="C27" s="52">
        <f>B24/C26</f>
        <v>0.99502487562189057</v>
      </c>
      <c r="E27"/>
      <c r="F27"/>
      <c r="G27"/>
      <c r="H27"/>
    </row>
    <row r="28" spans="1:9" x14ac:dyDescent="0.25">
      <c r="A28" s="49"/>
      <c r="B28" s="99"/>
      <c r="C28" s="99"/>
    </row>
    <row r="29" spans="1:9" ht="45" x14ac:dyDescent="0.25">
      <c r="A29" s="8" t="s">
        <v>89</v>
      </c>
      <c r="B29" s="22" t="s">
        <v>58</v>
      </c>
      <c r="C29" s="6" t="s">
        <v>48</v>
      </c>
      <c r="D29" s="6" t="s">
        <v>75</v>
      </c>
      <c r="E29" s="6" t="s">
        <v>18</v>
      </c>
      <c r="F29" s="6" t="s">
        <v>138</v>
      </c>
    </row>
    <row r="30" spans="1:9" x14ac:dyDescent="0.25">
      <c r="A30" s="55" t="s">
        <v>172</v>
      </c>
      <c r="B30" s="46">
        <v>65000</v>
      </c>
      <c r="C30" s="63">
        <v>0.2</v>
      </c>
      <c r="D30" s="31">
        <v>0.67</v>
      </c>
      <c r="E30" s="78">
        <f>'MMC Cost Estimates'!C31</f>
        <v>6.3831496786042239</v>
      </c>
      <c r="F30" s="103">
        <v>1</v>
      </c>
    </row>
    <row r="31" spans="1:9" x14ac:dyDescent="0.25">
      <c r="A31" s="55" t="s">
        <v>169</v>
      </c>
      <c r="B31" s="46">
        <v>35000</v>
      </c>
      <c r="C31" s="63">
        <v>0.2</v>
      </c>
      <c r="D31" s="31">
        <v>0.33</v>
      </c>
      <c r="E31" s="78">
        <f>'MMC Cost Estimates'!C32</f>
        <v>1.0323383084577114</v>
      </c>
      <c r="F31" s="103">
        <v>1</v>
      </c>
    </row>
    <row r="32" spans="1:9" x14ac:dyDescent="0.25">
      <c r="D32" s="14">
        <f>SUM(D30:D31)</f>
        <v>1</v>
      </c>
      <c r="E32" s="77"/>
    </row>
    <row r="33" spans="1:23" x14ac:dyDescent="0.25">
      <c r="D33"/>
      <c r="E33" s="77"/>
    </row>
    <row r="34" spans="1:23" ht="30" x14ac:dyDescent="0.25">
      <c r="A34" s="8" t="s">
        <v>135</v>
      </c>
      <c r="B34" s="22" t="s">
        <v>134</v>
      </c>
      <c r="C34" s="22" t="s">
        <v>133</v>
      </c>
      <c r="E34" s="8" t="s">
        <v>153</v>
      </c>
      <c r="F34" s="22" t="s">
        <v>114</v>
      </c>
      <c r="G34" s="22" t="s">
        <v>21</v>
      </c>
      <c r="H34" s="22" t="s">
        <v>109</v>
      </c>
    </row>
    <row r="35" spans="1:23" x14ac:dyDescent="0.25">
      <c r="A35" s="42" t="s">
        <v>136</v>
      </c>
      <c r="B35" s="31">
        <v>0.15</v>
      </c>
      <c r="C35" s="31">
        <v>0.01</v>
      </c>
      <c r="E35" s="42" t="s">
        <v>125</v>
      </c>
      <c r="F35" s="46">
        <v>1000</v>
      </c>
      <c r="G35" s="95">
        <v>0.15</v>
      </c>
      <c r="H35" s="50">
        <f>F35/(1-G35)</f>
        <v>1176.4705882352941</v>
      </c>
    </row>
    <row r="36" spans="1:23" x14ac:dyDescent="0.25">
      <c r="A36" s="42" t="s">
        <v>63</v>
      </c>
      <c r="B36" s="31">
        <v>0.2</v>
      </c>
      <c r="C36" s="31">
        <v>0.05</v>
      </c>
      <c r="E36" s="42" t="s">
        <v>28</v>
      </c>
      <c r="F36" s="46">
        <v>25</v>
      </c>
      <c r="G36" s="95">
        <v>0.3</v>
      </c>
      <c r="H36" s="50">
        <f t="shared" ref="H36:H37" si="0">F36/(1-G36)</f>
        <v>35.714285714285715</v>
      </c>
    </row>
    <row r="37" spans="1:23" x14ac:dyDescent="0.25">
      <c r="A37" s="42" t="s">
        <v>28</v>
      </c>
      <c r="B37" s="31">
        <v>0.05</v>
      </c>
      <c r="C37" s="31">
        <v>0.01</v>
      </c>
      <c r="E37" s="42" t="s">
        <v>28</v>
      </c>
      <c r="F37" s="46">
        <v>10</v>
      </c>
      <c r="G37" s="95">
        <v>0</v>
      </c>
      <c r="H37" s="50">
        <f t="shared" si="0"/>
        <v>10</v>
      </c>
    </row>
    <row r="38" spans="1:23" x14ac:dyDescent="0.25">
      <c r="A38" s="42" t="s">
        <v>106</v>
      </c>
      <c r="B38" s="31">
        <v>0.15</v>
      </c>
      <c r="C38" s="31">
        <v>0.05</v>
      </c>
    </row>
    <row r="39" spans="1:23" x14ac:dyDescent="0.25">
      <c r="A39"/>
      <c r="B39"/>
      <c r="C39" s="51"/>
    </row>
    <row r="40" spans="1:23" ht="30" x14ac:dyDescent="0.25">
      <c r="A40" s="8" t="s">
        <v>76</v>
      </c>
      <c r="B40" s="22" t="s">
        <v>66</v>
      </c>
      <c r="C40" s="6" t="s">
        <v>71</v>
      </c>
      <c r="D40" s="6" t="s">
        <v>72</v>
      </c>
      <c r="E40" s="59" t="s">
        <v>126</v>
      </c>
      <c r="F40" s="60" t="s">
        <v>152</v>
      </c>
    </row>
    <row r="41" spans="1:23" x14ac:dyDescent="0.25">
      <c r="A41" s="42" t="s">
        <v>6</v>
      </c>
      <c r="B41" s="61">
        <v>0.22</v>
      </c>
      <c r="C41" s="61">
        <v>0.17</v>
      </c>
      <c r="D41" s="61">
        <f>B41+C41</f>
        <v>0.39</v>
      </c>
      <c r="E41" s="58">
        <v>0.3</v>
      </c>
      <c r="F41" s="58">
        <v>0.1</v>
      </c>
    </row>
    <row r="42" spans="1:23" x14ac:dyDescent="0.25">
      <c r="A42" s="42" t="s">
        <v>7</v>
      </c>
      <c r="B42" s="61">
        <v>0.42</v>
      </c>
      <c r="C42" s="61">
        <v>0.22</v>
      </c>
      <c r="D42" s="61">
        <f>B42+C42</f>
        <v>0.64</v>
      </c>
      <c r="E42" s="58">
        <v>0.25</v>
      </c>
      <c r="F42" s="58">
        <v>0.25</v>
      </c>
    </row>
    <row r="43" spans="1:23" x14ac:dyDescent="0.25">
      <c r="A43" s="42" t="s">
        <v>8</v>
      </c>
      <c r="B43" s="61">
        <v>0.46</v>
      </c>
      <c r="C43" s="61">
        <v>0.45</v>
      </c>
      <c r="D43" s="61">
        <f>B43+C43</f>
        <v>0.91</v>
      </c>
      <c r="E43" s="58">
        <v>0.2</v>
      </c>
      <c r="F43" s="58">
        <v>0.5</v>
      </c>
    </row>
    <row r="44" spans="1:23" x14ac:dyDescent="0.25">
      <c r="A44" s="42" t="s">
        <v>9</v>
      </c>
      <c r="B44" s="61">
        <v>1.76</v>
      </c>
      <c r="C44" s="61">
        <v>1.1000000000000001</v>
      </c>
      <c r="D44" s="61">
        <f>B44+C44</f>
        <v>2.8600000000000003</v>
      </c>
      <c r="E44" s="58">
        <v>0.2</v>
      </c>
      <c r="F44" s="58">
        <v>0.05</v>
      </c>
    </row>
    <row r="45" spans="1:23" x14ac:dyDescent="0.25">
      <c r="A45" s="41" t="s">
        <v>28</v>
      </c>
      <c r="B45" s="114">
        <v>1.5</v>
      </c>
      <c r="C45" s="114">
        <v>0.85</v>
      </c>
      <c r="D45" s="114">
        <f>B45+C45</f>
        <v>2.35</v>
      </c>
      <c r="E45" s="58">
        <v>0.05</v>
      </c>
      <c r="F45" s="58">
        <v>0.1</v>
      </c>
      <c r="L45"/>
      <c r="M45"/>
      <c r="N45"/>
      <c r="O45"/>
      <c r="P45"/>
      <c r="Q45"/>
      <c r="R45"/>
      <c r="S45"/>
      <c r="T45"/>
      <c r="U45"/>
      <c r="V45"/>
      <c r="W45"/>
    </row>
    <row r="46" spans="1:23" x14ac:dyDescent="0.25">
      <c r="E46" s="14">
        <f>SUM(E41:E45)</f>
        <v>1</v>
      </c>
      <c r="F46" s="14">
        <f>SUM(F41:F45)</f>
        <v>1</v>
      </c>
      <c r="Q46"/>
      <c r="R46"/>
      <c r="S46"/>
      <c r="T46"/>
      <c r="U46"/>
      <c r="V46"/>
      <c r="W46"/>
    </row>
    <row r="47" spans="1:23" x14ac:dyDescent="0.25">
      <c r="Q47"/>
      <c r="R47"/>
      <c r="S47"/>
      <c r="T47"/>
      <c r="U47"/>
      <c r="V47"/>
      <c r="W47"/>
    </row>
    <row r="48" spans="1:23" ht="30.75" customHeight="1" x14ac:dyDescent="0.25">
      <c r="A48" s="8" t="s">
        <v>80</v>
      </c>
      <c r="B48" s="22" t="s">
        <v>66</v>
      </c>
      <c r="C48" s="6" t="s">
        <v>79</v>
      </c>
      <c r="D48" s="6" t="s">
        <v>72</v>
      </c>
      <c r="E48" s="59" t="s">
        <v>127</v>
      </c>
      <c r="F48" s="59" t="s">
        <v>137</v>
      </c>
    </row>
    <row r="49" spans="1:7" x14ac:dyDescent="0.25">
      <c r="A49" s="42" t="s">
        <v>77</v>
      </c>
      <c r="B49" s="61">
        <v>0.02</v>
      </c>
      <c r="C49" s="61">
        <v>0.01</v>
      </c>
      <c r="D49" s="61">
        <f>B49+C49</f>
        <v>0.03</v>
      </c>
      <c r="E49" s="58">
        <v>0.5</v>
      </c>
      <c r="F49" s="58">
        <v>0.5</v>
      </c>
    </row>
    <row r="50" spans="1:7" x14ac:dyDescent="0.25">
      <c r="A50" s="42" t="s">
        <v>81</v>
      </c>
      <c r="B50" s="61">
        <v>0.05</v>
      </c>
      <c r="C50" s="61">
        <v>0.01</v>
      </c>
      <c r="D50" s="61">
        <f>B50+C50</f>
        <v>6.0000000000000005E-2</v>
      </c>
      <c r="E50" s="58">
        <v>0.2</v>
      </c>
      <c r="F50" s="58">
        <v>0.2</v>
      </c>
    </row>
    <row r="51" spans="1:7" x14ac:dyDescent="0.25">
      <c r="A51" s="42" t="s">
        <v>78</v>
      </c>
      <c r="B51" s="61">
        <v>0.01</v>
      </c>
      <c r="C51" s="61">
        <v>0.01</v>
      </c>
      <c r="D51" s="61">
        <f>B51+C51</f>
        <v>0.02</v>
      </c>
      <c r="E51" s="58">
        <v>0.3</v>
      </c>
      <c r="F51" s="58">
        <v>0.3</v>
      </c>
    </row>
    <row r="52" spans="1:7" x14ac:dyDescent="0.25">
      <c r="A52" s="41" t="s">
        <v>28</v>
      </c>
      <c r="B52" s="114">
        <v>0.04</v>
      </c>
      <c r="C52" s="114">
        <v>0.01</v>
      </c>
      <c r="D52" s="114">
        <f>B52+C52</f>
        <v>0.05</v>
      </c>
      <c r="E52" s="58">
        <v>0</v>
      </c>
      <c r="F52" s="58">
        <v>0</v>
      </c>
    </row>
    <row r="53" spans="1:7" x14ac:dyDescent="0.25">
      <c r="E53" s="14">
        <f>SUM(E49:E52)</f>
        <v>1</v>
      </c>
      <c r="F53" s="14">
        <f>SUM(F49:F52)</f>
        <v>1</v>
      </c>
    </row>
    <row r="55" spans="1:7" ht="30" x14ac:dyDescent="0.25">
      <c r="A55" s="8" t="s">
        <v>82</v>
      </c>
      <c r="B55" s="22" t="s">
        <v>66</v>
      </c>
      <c r="C55" s="6" t="s">
        <v>79</v>
      </c>
      <c r="D55" s="6" t="s">
        <v>72</v>
      </c>
      <c r="E55" s="59" t="s">
        <v>128</v>
      </c>
      <c r="F55" s="59" t="s">
        <v>137</v>
      </c>
    </row>
    <row r="56" spans="1:7" x14ac:dyDescent="0.25">
      <c r="A56" s="42" t="s">
        <v>88</v>
      </c>
      <c r="B56" s="61">
        <v>0.02</v>
      </c>
      <c r="C56" s="61">
        <v>0.01</v>
      </c>
      <c r="D56" s="61">
        <f>B56+C56</f>
        <v>0.03</v>
      </c>
      <c r="E56" s="58">
        <v>0.5</v>
      </c>
      <c r="F56" s="58">
        <v>0.5</v>
      </c>
    </row>
    <row r="57" spans="1:7" x14ac:dyDescent="0.25">
      <c r="A57" s="42" t="s">
        <v>83</v>
      </c>
      <c r="B57" s="61">
        <v>0.02</v>
      </c>
      <c r="C57" s="61">
        <v>0.01</v>
      </c>
      <c r="D57" s="61">
        <f>B57+C57</f>
        <v>0.03</v>
      </c>
      <c r="E57" s="58">
        <v>0.5</v>
      </c>
      <c r="F57" s="58">
        <v>0.5</v>
      </c>
    </row>
    <row r="58" spans="1:7" x14ac:dyDescent="0.25">
      <c r="A58" s="41" t="s">
        <v>87</v>
      </c>
      <c r="B58" s="114">
        <v>0.01</v>
      </c>
      <c r="C58" s="114">
        <v>0.01</v>
      </c>
      <c r="D58" s="114">
        <f>B58+C58</f>
        <v>0.02</v>
      </c>
      <c r="E58" s="58">
        <v>0</v>
      </c>
      <c r="F58" s="58">
        <v>0</v>
      </c>
    </row>
    <row r="59" spans="1:7" x14ac:dyDescent="0.25">
      <c r="E59" s="14">
        <f>SUM(E56:E58)</f>
        <v>1</v>
      </c>
      <c r="F59" s="14">
        <f>SUM(F56:F58)</f>
        <v>1</v>
      </c>
    </row>
    <row r="60" spans="1:7" x14ac:dyDescent="0.25">
      <c r="E60"/>
      <c r="F60"/>
    </row>
    <row r="61" spans="1:7" ht="30" x14ac:dyDescent="0.25">
      <c r="A61" s="8" t="s">
        <v>149</v>
      </c>
      <c r="B61" s="22" t="s">
        <v>66</v>
      </c>
      <c r="C61" s="6" t="s">
        <v>71</v>
      </c>
      <c r="D61" s="6" t="s">
        <v>72</v>
      </c>
      <c r="E61" s="59" t="s">
        <v>151</v>
      </c>
      <c r="F61" s="59" t="s">
        <v>150</v>
      </c>
      <c r="G61"/>
    </row>
    <row r="62" spans="1:7" x14ac:dyDescent="0.25">
      <c r="A62" s="42" t="s">
        <v>6</v>
      </c>
      <c r="B62" s="61">
        <v>0.22</v>
      </c>
      <c r="C62" s="61">
        <v>0.17</v>
      </c>
      <c r="D62" s="61">
        <f>B62+C62</f>
        <v>0.39</v>
      </c>
      <c r="E62" s="58">
        <v>0.05</v>
      </c>
      <c r="F62" s="58">
        <v>0.05</v>
      </c>
    </row>
    <row r="63" spans="1:7" x14ac:dyDescent="0.25">
      <c r="A63" s="42" t="s">
        <v>7</v>
      </c>
      <c r="B63" s="61">
        <v>0.42</v>
      </c>
      <c r="C63" s="61">
        <v>0.22</v>
      </c>
      <c r="D63" s="61">
        <f>B63+C63</f>
        <v>0.64</v>
      </c>
      <c r="E63" s="58">
        <v>0.2</v>
      </c>
      <c r="F63" s="58">
        <v>0.2</v>
      </c>
    </row>
    <row r="64" spans="1:7" x14ac:dyDescent="0.25">
      <c r="A64" s="42" t="s">
        <v>8</v>
      </c>
      <c r="B64" s="61">
        <v>0.46</v>
      </c>
      <c r="C64" s="61">
        <v>0.45</v>
      </c>
      <c r="D64" s="61">
        <f>B64+C64</f>
        <v>0.91</v>
      </c>
      <c r="E64" s="58">
        <v>0.5</v>
      </c>
      <c r="F64" s="58">
        <v>0.5</v>
      </c>
    </row>
    <row r="65" spans="1:6" x14ac:dyDescent="0.25">
      <c r="A65" s="42" t="s">
        <v>9</v>
      </c>
      <c r="B65" s="61">
        <v>1.76</v>
      </c>
      <c r="C65" s="61">
        <v>1.1000000000000001</v>
      </c>
      <c r="D65" s="61">
        <f>B65+C65</f>
        <v>2.8600000000000003</v>
      </c>
      <c r="E65" s="58">
        <v>0.25</v>
      </c>
      <c r="F65" s="58">
        <v>0.25</v>
      </c>
    </row>
    <row r="66" spans="1:6" x14ac:dyDescent="0.25">
      <c r="A66" s="41" t="s">
        <v>28</v>
      </c>
      <c r="B66" s="114">
        <v>1.5</v>
      </c>
      <c r="C66" s="114">
        <v>0.85</v>
      </c>
      <c r="D66" s="114">
        <f>B66+C66</f>
        <v>2.35</v>
      </c>
      <c r="E66" s="58">
        <v>0</v>
      </c>
      <c r="F66" s="58">
        <v>0</v>
      </c>
    </row>
    <row r="67" spans="1:6" x14ac:dyDescent="0.25">
      <c r="E67" s="14">
        <f>SUM(E62:E66)</f>
        <v>1</v>
      </c>
      <c r="F67" s="14">
        <f>SUM(F62:F66)</f>
        <v>1</v>
      </c>
    </row>
  </sheetData>
  <conditionalFormatting sqref="D32 E46:F46 E67">
    <cfRule type="cellIs" dxfId="7" priority="11" operator="notEqual">
      <formula>1</formula>
    </cfRule>
    <cfRule type="cellIs" dxfId="6" priority="12" operator="equal">
      <formula>1</formula>
    </cfRule>
  </conditionalFormatting>
  <conditionalFormatting sqref="E53:F53">
    <cfRule type="cellIs" dxfId="5" priority="7" operator="notEqual">
      <formula>1</formula>
    </cfRule>
    <cfRule type="cellIs" dxfId="4" priority="8" operator="equal">
      <formula>1</formula>
    </cfRule>
  </conditionalFormatting>
  <conditionalFormatting sqref="E59:F59">
    <cfRule type="cellIs" dxfId="3" priority="3" operator="notEqual">
      <formula>1</formula>
    </cfRule>
    <cfRule type="cellIs" dxfId="2" priority="4" operator="equal">
      <formula>1</formula>
    </cfRule>
  </conditionalFormatting>
  <conditionalFormatting sqref="F67">
    <cfRule type="cellIs" dxfId="1" priority="1" operator="notEqual">
      <formula>1</formula>
    </cfRule>
    <cfRule type="cellIs" dxfId="0" priority="2" operator="equal">
      <formula>1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4"/>
  <sheetViews>
    <sheetView topLeftCell="A49" zoomScaleNormal="100" workbookViewId="0">
      <selection activeCell="H44" sqref="H44"/>
    </sheetView>
  </sheetViews>
  <sheetFormatPr defaultRowHeight="15" x14ac:dyDescent="0.25"/>
  <cols>
    <col min="1" max="1" width="32.42578125" style="37" customWidth="1"/>
    <col min="2" max="2" width="13.7109375" style="37" customWidth="1"/>
    <col min="3" max="3" width="13.85546875" style="37" customWidth="1"/>
    <col min="4" max="4" width="13" style="37" customWidth="1"/>
    <col min="5" max="7" width="11.5703125" style="37" customWidth="1"/>
    <col min="8" max="8" width="12" style="37" customWidth="1"/>
    <col min="9" max="9" width="17.5703125" style="37" customWidth="1"/>
    <col min="10" max="10" width="13.7109375" style="37" customWidth="1"/>
    <col min="11" max="11" width="11.5703125" style="37" customWidth="1"/>
    <col min="12" max="12" width="12.140625" style="37" customWidth="1"/>
    <col min="13" max="13" width="11.7109375" style="37" customWidth="1"/>
    <col min="14" max="15" width="11.5703125" style="37" customWidth="1"/>
    <col min="16" max="16" width="23" style="37" customWidth="1"/>
    <col min="17" max="17" width="21.5703125" style="37" customWidth="1"/>
    <col min="18" max="18" width="11.85546875" style="37" customWidth="1"/>
    <col min="19" max="24" width="11.5703125" style="37" customWidth="1"/>
    <col min="25" max="25" width="11.140625" style="37" customWidth="1"/>
    <col min="26" max="16384" width="9.140625" style="37"/>
  </cols>
  <sheetData>
    <row r="1" spans="1:8" x14ac:dyDescent="0.25">
      <c r="D1" s="38"/>
    </row>
    <row r="2" spans="1:8" x14ac:dyDescent="0.25">
      <c r="A2" s="36" t="s">
        <v>94</v>
      </c>
    </row>
    <row r="3" spans="1:8" ht="30" x14ac:dyDescent="0.25">
      <c r="A3" s="8" t="s">
        <v>148</v>
      </c>
      <c r="B3" s="8" t="s">
        <v>90</v>
      </c>
      <c r="C3" s="22" t="s">
        <v>91</v>
      </c>
      <c r="D3" s="6" t="s">
        <v>92</v>
      </c>
      <c r="E3" s="6" t="s">
        <v>93</v>
      </c>
      <c r="F3"/>
      <c r="G3"/>
      <c r="H3"/>
    </row>
    <row r="4" spans="1:8" x14ac:dyDescent="0.25">
      <c r="A4" s="41" t="s">
        <v>11</v>
      </c>
      <c r="B4" s="68">
        <f>'Cost Inputs'!E5*'Cost Inputs'!F5*160</f>
        <v>64</v>
      </c>
      <c r="C4" s="71">
        <f>'Cost Inputs'!B5*(1+'Cost Inputs'!C5)/12*'Cost Inputs'!E5*'Cost Inputs'!F5</f>
        <v>3200</v>
      </c>
      <c r="D4" s="68">
        <f>'Cost Inputs'!G5*'Cost Inputs'!H5*160</f>
        <v>384.00000000000006</v>
      </c>
      <c r="E4" s="69">
        <f>'Cost Inputs'!B5*(1+'Cost Inputs'!C5)/12*'Cost Inputs'!G5*'Cost Inputs'!H5</f>
        <v>19200</v>
      </c>
      <c r="F4"/>
      <c r="G4"/>
      <c r="H4"/>
    </row>
    <row r="5" spans="1:8" x14ac:dyDescent="0.25">
      <c r="A5" s="41" t="s">
        <v>45</v>
      </c>
      <c r="B5" s="68">
        <f>'Cost Inputs'!E6*'Cost Inputs'!F6*160</f>
        <v>64</v>
      </c>
      <c r="C5" s="71">
        <f>'Cost Inputs'!B6*(1+'Cost Inputs'!C6)/12*'Cost Inputs'!E6*'Cost Inputs'!F6</f>
        <v>2800</v>
      </c>
      <c r="D5" s="68">
        <f>'Cost Inputs'!G6*'Cost Inputs'!H6*160</f>
        <v>192.00000000000003</v>
      </c>
      <c r="E5" s="69">
        <f>'Cost Inputs'!B6*(1+'Cost Inputs'!C6)/12*'Cost Inputs'!G6*'Cost Inputs'!H6</f>
        <v>8400</v>
      </c>
      <c r="F5"/>
      <c r="G5"/>
      <c r="H5"/>
    </row>
    <row r="6" spans="1:8" x14ac:dyDescent="0.25">
      <c r="A6" s="41" t="s">
        <v>46</v>
      </c>
      <c r="B6" s="68">
        <f>'Cost Inputs'!E7*'Cost Inputs'!F7*160</f>
        <v>32</v>
      </c>
      <c r="C6" s="71">
        <f>'Cost Inputs'!B7*(1+'Cost Inputs'!C7)/12*'Cost Inputs'!E7*'Cost Inputs'!F7</f>
        <v>2000</v>
      </c>
      <c r="D6" s="68">
        <f>'Cost Inputs'!G7*'Cost Inputs'!H7*160</f>
        <v>192.00000000000003</v>
      </c>
      <c r="E6" s="69">
        <f>'Cost Inputs'!B7*(1+'Cost Inputs'!C7)/12*'Cost Inputs'!G7*'Cost Inputs'!H7</f>
        <v>12000</v>
      </c>
      <c r="F6"/>
      <c r="G6"/>
      <c r="H6"/>
    </row>
    <row r="7" spans="1:8" x14ac:dyDescent="0.25">
      <c r="A7" s="41" t="s">
        <v>47</v>
      </c>
      <c r="B7" s="68">
        <f>'Cost Inputs'!E8*'Cost Inputs'!F8*160</f>
        <v>64</v>
      </c>
      <c r="C7" s="71">
        <f>'Cost Inputs'!B8*(1+'Cost Inputs'!C8)/12*'Cost Inputs'!E8*'Cost Inputs'!F8</f>
        <v>1600</v>
      </c>
      <c r="D7" s="68">
        <f>'Cost Inputs'!G8*'Cost Inputs'!H8*160</f>
        <v>384.00000000000006</v>
      </c>
      <c r="E7" s="69">
        <f>'Cost Inputs'!B8*(1+'Cost Inputs'!C8)/12*'Cost Inputs'!G8*'Cost Inputs'!H8</f>
        <v>9600</v>
      </c>
      <c r="F7"/>
      <c r="G7"/>
      <c r="H7"/>
    </row>
    <row r="8" spans="1:8" x14ac:dyDescent="0.25">
      <c r="A8" s="41" t="s">
        <v>12</v>
      </c>
      <c r="B8" s="68">
        <f>'Cost Inputs'!E9*'Cost Inputs'!F9*160</f>
        <v>64</v>
      </c>
      <c r="C8" s="71">
        <f>'Cost Inputs'!B9*(1+'Cost Inputs'!C9)/12*'Cost Inputs'!E9*'Cost Inputs'!F9</f>
        <v>3600</v>
      </c>
      <c r="D8" s="68">
        <f>'Cost Inputs'!G9*'Cost Inputs'!H9*160</f>
        <v>480</v>
      </c>
      <c r="E8" s="69">
        <f>'Cost Inputs'!B9*(1+'Cost Inputs'!C9)/12*'Cost Inputs'!G9*'Cost Inputs'!H9</f>
        <v>27000</v>
      </c>
      <c r="F8"/>
      <c r="G8"/>
      <c r="H8"/>
    </row>
    <row r="9" spans="1:8" x14ac:dyDescent="0.25">
      <c r="A9" s="41" t="s">
        <v>13</v>
      </c>
      <c r="B9" s="68">
        <f>'Cost Inputs'!E10*'Cost Inputs'!F10*160</f>
        <v>40</v>
      </c>
      <c r="C9" s="71">
        <f>'Cost Inputs'!B10*(1+'Cost Inputs'!C10)/12*'Cost Inputs'!E10*'Cost Inputs'!F10</f>
        <v>1500</v>
      </c>
      <c r="D9" s="68">
        <f>'Cost Inputs'!G10*'Cost Inputs'!H10*160</f>
        <v>480</v>
      </c>
      <c r="E9" s="69">
        <f>'Cost Inputs'!B10*(1+'Cost Inputs'!C10)/12*'Cost Inputs'!G10*'Cost Inputs'!H10</f>
        <v>18000</v>
      </c>
      <c r="F9"/>
      <c r="G9"/>
      <c r="H9"/>
    </row>
    <row r="10" spans="1:8" x14ac:dyDescent="0.25">
      <c r="A10" s="41" t="s">
        <v>14</v>
      </c>
      <c r="B10" s="68">
        <f>'Cost Inputs'!E11*'Cost Inputs'!F11*160</f>
        <v>8</v>
      </c>
      <c r="C10" s="71">
        <f>'Cost Inputs'!B11*(1+'Cost Inputs'!C11)/12*'Cost Inputs'!E11*'Cost Inputs'!F11</f>
        <v>250</v>
      </c>
      <c r="D10" s="68">
        <f>'Cost Inputs'!G11*'Cost Inputs'!H11*160</f>
        <v>96.000000000000014</v>
      </c>
      <c r="E10" s="69">
        <f>'Cost Inputs'!B11*(1+'Cost Inputs'!C11)/12*'Cost Inputs'!G11*'Cost Inputs'!H11</f>
        <v>3000</v>
      </c>
      <c r="F10"/>
      <c r="G10"/>
      <c r="H10"/>
    </row>
    <row r="11" spans="1:8" x14ac:dyDescent="0.25">
      <c r="A11" s="41" t="s">
        <v>145</v>
      </c>
      <c r="B11" s="68">
        <f>'Cost Inputs'!E12*'Cost Inputs'!F12*160</f>
        <v>32</v>
      </c>
      <c r="C11" s="71">
        <f>'Cost Inputs'!B12*(1+'Cost Inputs'!C12)/12*'Cost Inputs'!E12*'Cost Inputs'!F12</f>
        <v>1500</v>
      </c>
      <c r="D11" s="68">
        <f>'Cost Inputs'!G12*'Cost Inputs'!H12*160</f>
        <v>96.000000000000014</v>
      </c>
      <c r="E11" s="69">
        <f>'Cost Inputs'!B12*(1+'Cost Inputs'!C12)/12*'Cost Inputs'!G12*'Cost Inputs'!H12</f>
        <v>4500</v>
      </c>
      <c r="F11"/>
      <c r="G11"/>
      <c r="H11"/>
    </row>
    <row r="12" spans="1:8" x14ac:dyDescent="0.25">
      <c r="A12" s="41" t="s">
        <v>106</v>
      </c>
      <c r="B12" s="68">
        <f>'Cost Inputs'!E13*'Cost Inputs'!F13*160</f>
        <v>8</v>
      </c>
      <c r="C12" s="71">
        <f>'Cost Inputs'!B13*(1+'Cost Inputs'!C13)/12*'Cost Inputs'!E13*'Cost Inputs'!F13</f>
        <v>200</v>
      </c>
      <c r="D12" s="68">
        <f>'Cost Inputs'!G13*'Cost Inputs'!H13*160</f>
        <v>192.00000000000003</v>
      </c>
      <c r="E12" s="69">
        <f>'Cost Inputs'!B13*(1+'Cost Inputs'!C13)/12*'Cost Inputs'!G13*'Cost Inputs'!H13</f>
        <v>4800</v>
      </c>
      <c r="F12"/>
      <c r="G12"/>
      <c r="H12"/>
    </row>
    <row r="13" spans="1:8" x14ac:dyDescent="0.25">
      <c r="A13" s="42" t="s">
        <v>28</v>
      </c>
      <c r="B13" s="68">
        <f>'Cost Inputs'!E14*'Cost Inputs'!F14*160</f>
        <v>0</v>
      </c>
      <c r="C13" s="71">
        <f>'Cost Inputs'!B14*(1+'Cost Inputs'!C14)/12*'Cost Inputs'!E14*'Cost Inputs'!F14</f>
        <v>0</v>
      </c>
      <c r="D13" s="68">
        <f>'Cost Inputs'!G14*'Cost Inputs'!H14*160</f>
        <v>0</v>
      </c>
      <c r="E13" s="69">
        <f>'Cost Inputs'!B14*(1+'Cost Inputs'!C14)/12*'Cost Inputs'!G14*'Cost Inputs'!H14</f>
        <v>0</v>
      </c>
      <c r="F13"/>
      <c r="G13"/>
      <c r="H13"/>
    </row>
    <row r="14" spans="1:8" x14ac:dyDescent="0.25">
      <c r="A14" s="53" t="s">
        <v>147</v>
      </c>
      <c r="B14" s="66">
        <f>SUM(B4:B13)</f>
        <v>376</v>
      </c>
      <c r="C14" s="72">
        <f>SUM(C4:C13)</f>
        <v>16650</v>
      </c>
      <c r="D14" s="67">
        <f>SUM(D4:D13)</f>
        <v>2496</v>
      </c>
      <c r="E14" s="72">
        <f>SUM(E4:E13)</f>
        <v>106500</v>
      </c>
      <c r="F14"/>
      <c r="G14"/>
      <c r="H14"/>
    </row>
    <row r="15" spans="1:8" x14ac:dyDescent="0.25">
      <c r="A15" s="42" t="s">
        <v>146</v>
      </c>
      <c r="B15" s="68">
        <f>'Cost Inputs'!F30*'Cost Inputs'!E30*160+'Cost Inputs'!F31*'Cost Inputs'!E31*160</f>
        <v>1186.4780779299097</v>
      </c>
      <c r="C15" s="71">
        <f>'Cost Inputs'!F30/12*'Cost Inputs'!E30*'Cost Inputs'!B30*(1+'Cost Inputs'!C30)+'Cost Inputs'!F31/12*'Cost Inputs'!E31*'Cost Inputs'!B31*(1+'Cost Inputs'!C31)</f>
        <v>45103.656990529438</v>
      </c>
      <c r="D15" s="68">
        <v>0</v>
      </c>
      <c r="E15" s="69">
        <v>0</v>
      </c>
      <c r="F15"/>
      <c r="G15"/>
      <c r="H15"/>
    </row>
    <row r="16" spans="1:8" x14ac:dyDescent="0.25">
      <c r="A16" s="54" t="s">
        <v>0</v>
      </c>
      <c r="B16" s="75">
        <f>B14+B15</f>
        <v>1562.4780779299097</v>
      </c>
      <c r="C16" s="81">
        <f>C14+C15</f>
        <v>61753.656990529438</v>
      </c>
      <c r="D16" s="75">
        <f>D14+D15</f>
        <v>2496</v>
      </c>
      <c r="E16" s="81">
        <f>E14+E15</f>
        <v>106500</v>
      </c>
      <c r="F16"/>
      <c r="G16"/>
      <c r="H16"/>
    </row>
    <row r="17" spans="1:10" x14ac:dyDescent="0.25">
      <c r="E17" s="39"/>
      <c r="H17" s="40"/>
    </row>
    <row r="18" spans="1:10" x14ac:dyDescent="0.25">
      <c r="A18" s="7" t="s">
        <v>96</v>
      </c>
      <c r="B18" s="57"/>
      <c r="C18"/>
      <c r="D18"/>
      <c r="E18"/>
      <c r="F18"/>
      <c r="G18"/>
      <c r="H18"/>
      <c r="I18" s="57"/>
    </row>
    <row r="19" spans="1:10" ht="45" x14ac:dyDescent="0.25">
      <c r="A19" s="8" t="s">
        <v>25</v>
      </c>
      <c r="B19" s="22" t="s">
        <v>34</v>
      </c>
      <c r="C19" s="6" t="s">
        <v>84</v>
      </c>
      <c r="D19" s="6" t="s">
        <v>85</v>
      </c>
      <c r="E19" s="6" t="s">
        <v>88</v>
      </c>
      <c r="F19" s="6" t="s">
        <v>83</v>
      </c>
      <c r="G19" s="6" t="s">
        <v>87</v>
      </c>
      <c r="H19" s="6" t="s">
        <v>86</v>
      </c>
      <c r="I19" s="6" t="s">
        <v>95</v>
      </c>
      <c r="J19" s="6" t="s">
        <v>156</v>
      </c>
    </row>
    <row r="20" spans="1:10" x14ac:dyDescent="0.25">
      <c r="A20" s="101" t="s">
        <v>132</v>
      </c>
      <c r="B20" s="73">
        <f>'Targeting Inputs'!B35</f>
        <v>3000</v>
      </c>
      <c r="C20" s="73">
        <f>$B20*'Targeting Inputs'!C35*'Targeting Inputs'!$K$4/12</f>
        <v>36000</v>
      </c>
      <c r="D20" s="73">
        <f>$B20*'Targeting Inputs'!D35*'Targeting Inputs'!$K$4/12</f>
        <v>36000</v>
      </c>
      <c r="E20" s="73">
        <f>$B20*'Targeting Inputs'!E35*'Targeting Inputs'!$K$4/12</f>
        <v>0</v>
      </c>
      <c r="F20" s="73">
        <f>$B20*'Targeting Inputs'!F35*'Targeting Inputs'!$K$4/12</f>
        <v>12000</v>
      </c>
      <c r="G20" s="73">
        <f>$B20*'Targeting Inputs'!G35*'Targeting Inputs'!$K$4/12</f>
        <v>6000</v>
      </c>
      <c r="H20" s="73">
        <f>$B20*'Targeting Inputs'!H35*'Targeting Inputs'!J35*'Targeting Inputs'!$K$4/12</f>
        <v>36000</v>
      </c>
      <c r="I20" s="74">
        <f>SUM(C20:H20)</f>
        <v>126000</v>
      </c>
      <c r="J20" s="107">
        <f>I20-C20</f>
        <v>90000</v>
      </c>
    </row>
    <row r="21" spans="1:10" ht="15" customHeight="1" x14ac:dyDescent="0.25">
      <c r="A21" s="102" t="s">
        <v>29</v>
      </c>
      <c r="B21" s="73">
        <f>'Targeting Inputs'!B36</f>
        <v>3000</v>
      </c>
      <c r="C21" s="73">
        <f>$B21*'Targeting Inputs'!C36*'Targeting Inputs'!$K$4/12</f>
        <v>18000</v>
      </c>
      <c r="D21" s="73">
        <f>$B21*'Targeting Inputs'!D36*'Targeting Inputs'!$K$4/12</f>
        <v>36000</v>
      </c>
      <c r="E21" s="73">
        <f>$B21*'Targeting Inputs'!E36*'Targeting Inputs'!$K$4/12</f>
        <v>0</v>
      </c>
      <c r="F21" s="73">
        <f>$B21*'Targeting Inputs'!F36*'Targeting Inputs'!$K$4/12</f>
        <v>12000</v>
      </c>
      <c r="G21" s="73">
        <f>$B21*'Targeting Inputs'!G36*'Targeting Inputs'!$K$4/12</f>
        <v>6000</v>
      </c>
      <c r="H21" s="73">
        <f>$B21*'Targeting Inputs'!H36*'Targeting Inputs'!J36*'Targeting Inputs'!$K$4/12</f>
        <v>36000</v>
      </c>
      <c r="I21" s="74">
        <f t="shared" ref="I21:I27" si="0">SUM(C21:H21)</f>
        <v>108000</v>
      </c>
      <c r="J21" s="107">
        <f t="shared" ref="J21:J27" si="1">I21-C21</f>
        <v>90000</v>
      </c>
    </row>
    <row r="22" spans="1:10" x14ac:dyDescent="0.25">
      <c r="A22" s="101" t="s">
        <v>30</v>
      </c>
      <c r="B22" s="73">
        <f>'Targeting Inputs'!B37</f>
        <v>3000</v>
      </c>
      <c r="C22" s="73">
        <f>$B22*'Targeting Inputs'!C37*'Targeting Inputs'!$K$4/12</f>
        <v>12000</v>
      </c>
      <c r="D22" s="73">
        <f>$B22*'Targeting Inputs'!D37*'Targeting Inputs'!$K$4/12</f>
        <v>24000</v>
      </c>
      <c r="E22" s="73">
        <f>$B22*'Targeting Inputs'!E37*'Targeting Inputs'!$K$4/12</f>
        <v>12000</v>
      </c>
      <c r="F22" s="73">
        <f>$B22*'Targeting Inputs'!F37*'Targeting Inputs'!$K$4/12</f>
        <v>12000</v>
      </c>
      <c r="G22" s="73">
        <f>$B22*'Targeting Inputs'!G37*'Targeting Inputs'!$K$4/12</f>
        <v>6000</v>
      </c>
      <c r="H22" s="73">
        <f>$B22*'Targeting Inputs'!H37*'Targeting Inputs'!J37*'Targeting Inputs'!$K$4/12</f>
        <v>18000</v>
      </c>
      <c r="I22" s="74">
        <f t="shared" si="0"/>
        <v>84000</v>
      </c>
      <c r="J22" s="107">
        <f t="shared" si="1"/>
        <v>72000</v>
      </c>
    </row>
    <row r="23" spans="1:10" x14ac:dyDescent="0.25">
      <c r="A23" s="101" t="s">
        <v>131</v>
      </c>
      <c r="B23" s="73">
        <f>'Targeting Inputs'!B38</f>
        <v>3000</v>
      </c>
      <c r="C23" s="73">
        <f>$B23*'Targeting Inputs'!C38*'Targeting Inputs'!$K$4/12</f>
        <v>6000</v>
      </c>
      <c r="D23" s="73">
        <f>$B23*'Targeting Inputs'!D38*'Targeting Inputs'!$K$4/12</f>
        <v>12000</v>
      </c>
      <c r="E23" s="73">
        <f>$B23*'Targeting Inputs'!E38*'Targeting Inputs'!$K$4/12</f>
        <v>12000</v>
      </c>
      <c r="F23" s="73">
        <f>$B23*'Targeting Inputs'!F38*'Targeting Inputs'!$K$4/12</f>
        <v>12000</v>
      </c>
      <c r="G23" s="73">
        <f>$B23*'Targeting Inputs'!G38*'Targeting Inputs'!$K$4/12</f>
        <v>6000</v>
      </c>
      <c r="H23" s="73">
        <f>$B23*'Targeting Inputs'!H38*'Targeting Inputs'!J38*'Targeting Inputs'!$K$4/12</f>
        <v>18000</v>
      </c>
      <c r="I23" s="74">
        <f t="shared" si="0"/>
        <v>66000</v>
      </c>
      <c r="J23" s="107">
        <f t="shared" si="1"/>
        <v>60000</v>
      </c>
    </row>
    <row r="24" spans="1:10" x14ac:dyDescent="0.25">
      <c r="A24" s="101" t="s">
        <v>31</v>
      </c>
      <c r="B24" s="73">
        <f>'Targeting Inputs'!B39</f>
        <v>3000</v>
      </c>
      <c r="C24" s="73">
        <f>$B24*'Targeting Inputs'!C39*'Targeting Inputs'!$K$4/12</f>
        <v>3000</v>
      </c>
      <c r="D24" s="73">
        <f>$B24*'Targeting Inputs'!D39*'Targeting Inputs'!$K$4/12</f>
        <v>6000</v>
      </c>
      <c r="E24" s="73">
        <f>$B24*'Targeting Inputs'!E39*'Targeting Inputs'!$K$4/12</f>
        <v>12000</v>
      </c>
      <c r="F24" s="73">
        <f>$B24*'Targeting Inputs'!F39*'Targeting Inputs'!$K$4/12</f>
        <v>12000</v>
      </c>
      <c r="G24" s="73">
        <f>$B24*'Targeting Inputs'!G39*'Targeting Inputs'!$K$4/12</f>
        <v>6000</v>
      </c>
      <c r="H24" s="73">
        <f>$B24*'Targeting Inputs'!H39*'Targeting Inputs'!J39*'Targeting Inputs'!$K$4/12</f>
        <v>18000</v>
      </c>
      <c r="I24" s="74">
        <f t="shared" si="0"/>
        <v>57000</v>
      </c>
      <c r="J24" s="107">
        <f t="shared" si="1"/>
        <v>54000</v>
      </c>
    </row>
    <row r="25" spans="1:10" x14ac:dyDescent="0.25">
      <c r="A25" s="101" t="s">
        <v>130</v>
      </c>
      <c r="B25" s="73">
        <f>'Targeting Inputs'!B40</f>
        <v>3000</v>
      </c>
      <c r="C25" s="73">
        <f>$B25*'Targeting Inputs'!C40*'Targeting Inputs'!$K$4/12</f>
        <v>0</v>
      </c>
      <c r="D25" s="73">
        <f>$B25*'Targeting Inputs'!D40*'Targeting Inputs'!$K$4/12</f>
        <v>12000</v>
      </c>
      <c r="E25" s="73">
        <f>$B25*'Targeting Inputs'!E40*'Targeting Inputs'!$K$4/12</f>
        <v>12000</v>
      </c>
      <c r="F25" s="73">
        <f>$B25*'Targeting Inputs'!F40*'Targeting Inputs'!$K$4/12</f>
        <v>12000</v>
      </c>
      <c r="G25" s="73">
        <f>$B25*'Targeting Inputs'!G40*'Targeting Inputs'!$K$4/12</f>
        <v>0</v>
      </c>
      <c r="H25" s="73">
        <f>$B25*'Targeting Inputs'!H40*'Targeting Inputs'!J40*'Targeting Inputs'!$K$4/12</f>
        <v>18000</v>
      </c>
      <c r="I25" s="74">
        <f t="shared" si="0"/>
        <v>54000</v>
      </c>
      <c r="J25" s="107">
        <f t="shared" si="1"/>
        <v>54000</v>
      </c>
    </row>
    <row r="26" spans="1:10" x14ac:dyDescent="0.25">
      <c r="A26" s="101" t="s">
        <v>28</v>
      </c>
      <c r="B26" s="73">
        <f>'Targeting Inputs'!B41</f>
        <v>4000</v>
      </c>
      <c r="C26" s="73">
        <f>$B26*'Targeting Inputs'!C41*'Targeting Inputs'!$K$4/12</f>
        <v>8000</v>
      </c>
      <c r="D26" s="73">
        <f>$B26*'Targeting Inputs'!D41*'Targeting Inputs'!$K$4/12</f>
        <v>24000</v>
      </c>
      <c r="E26" s="73">
        <f>$B26*'Targeting Inputs'!E41*'Targeting Inputs'!$K$4/12</f>
        <v>24000</v>
      </c>
      <c r="F26" s="73">
        <f>$B26*'Targeting Inputs'!F41*'Targeting Inputs'!$K$4/12</f>
        <v>16000</v>
      </c>
      <c r="G26" s="73">
        <f>$B26*'Targeting Inputs'!G41*'Targeting Inputs'!$K$4/12</f>
        <v>8000</v>
      </c>
      <c r="H26" s="73">
        <f>$B26*'Targeting Inputs'!H41*'Targeting Inputs'!J41*'Targeting Inputs'!$K$4/12</f>
        <v>72000</v>
      </c>
      <c r="I26" s="74">
        <f t="shared" si="0"/>
        <v>152000</v>
      </c>
      <c r="J26" s="107">
        <f t="shared" si="1"/>
        <v>144000</v>
      </c>
    </row>
    <row r="27" spans="1:10" x14ac:dyDescent="0.25">
      <c r="A27" s="54" t="s">
        <v>0</v>
      </c>
      <c r="B27" s="75">
        <f>SUM(B20:B26)</f>
        <v>22000</v>
      </c>
      <c r="C27" s="75">
        <f t="shared" ref="C27:H27" si="2">SUM(C20:C26)</f>
        <v>83000</v>
      </c>
      <c r="D27" s="75">
        <f t="shared" si="2"/>
        <v>150000</v>
      </c>
      <c r="E27" s="75">
        <f t="shared" si="2"/>
        <v>72000</v>
      </c>
      <c r="F27" s="75">
        <f t="shared" si="2"/>
        <v>88000</v>
      </c>
      <c r="G27" s="75">
        <f t="shared" si="2"/>
        <v>38000</v>
      </c>
      <c r="H27" s="75">
        <f t="shared" si="2"/>
        <v>216000</v>
      </c>
      <c r="I27" s="74">
        <f t="shared" si="0"/>
        <v>647000</v>
      </c>
      <c r="J27" s="107">
        <f t="shared" si="1"/>
        <v>564000</v>
      </c>
    </row>
    <row r="28" spans="1:10" x14ac:dyDescent="0.25">
      <c r="E28" s="39"/>
      <c r="H28" s="40"/>
    </row>
    <row r="29" spans="1:10" x14ac:dyDescent="0.25">
      <c r="A29" s="36" t="s">
        <v>97</v>
      </c>
      <c r="E29" s="39"/>
      <c r="H29" s="40"/>
    </row>
    <row r="30" spans="1:10" ht="45" x14ac:dyDescent="0.25">
      <c r="A30" s="8" t="s">
        <v>89</v>
      </c>
      <c r="B30" s="22" t="s">
        <v>58</v>
      </c>
      <c r="C30" s="6" t="s">
        <v>18</v>
      </c>
      <c r="D30" s="6" t="s">
        <v>99</v>
      </c>
      <c r="E30" s="6" t="s">
        <v>98</v>
      </c>
      <c r="F30" s="40"/>
    </row>
    <row r="31" spans="1:10" x14ac:dyDescent="0.25">
      <c r="A31" s="41" t="s">
        <v>73</v>
      </c>
      <c r="B31" s="50">
        <f>'Cost Inputs'!B30*(1+'Cost Inputs'!C30)*('Targeting Inputs'!$K$4)/12*'MMC Cost Estimates'!C31</f>
        <v>497885.67493112944</v>
      </c>
      <c r="C31" s="76">
        <f>'Cost Inputs'!D30*'MMC Cost Estimates'!$C$27/('Cost Inputs'!B26*'Cost Inputs'!B23*'Targeting Inputs'!$K$4)</f>
        <v>6.3831496786042239</v>
      </c>
      <c r="D31" s="84">
        <f>B31/($C$27*'Cost Inputs'!D30)</f>
        <v>8.9531680440771346</v>
      </c>
      <c r="E31" s="84">
        <f>D31/'Cost Inputs'!$C$27</f>
        <v>8.9979338842975203</v>
      </c>
      <c r="F31" s="104"/>
    </row>
    <row r="32" spans="1:10" x14ac:dyDescent="0.25">
      <c r="A32" s="41" t="s">
        <v>74</v>
      </c>
      <c r="B32" s="50">
        <f>'Cost Inputs'!B31*(1+'Cost Inputs'!C31)*('Targeting Inputs'!$K$4)/12*'MMC Cost Estimates'!C32</f>
        <v>43358.208955223876</v>
      </c>
      <c r="C32" s="76">
        <f>'Cost Inputs'!D31*'MMC Cost Estimates'!$C$27/('Cost Inputs'!C26*'Cost Inputs'!C23*'Targeting Inputs'!$K$4)</f>
        <v>1.0323383084577114</v>
      </c>
      <c r="D32" s="84">
        <f>B32/($C$27*'Cost Inputs'!D31)</f>
        <v>1.582994120307553</v>
      </c>
      <c r="E32" s="84">
        <f>D32/'Cost Inputs'!$C$27</f>
        <v>1.5909090909090908</v>
      </c>
      <c r="F32" s="40"/>
    </row>
    <row r="33" spans="1:8" x14ac:dyDescent="0.25">
      <c r="A33" s="53" t="s">
        <v>100</v>
      </c>
      <c r="B33" s="80">
        <f>SUM(B31:B32)</f>
        <v>541243.88388635335</v>
      </c>
      <c r="C33" s="88">
        <f>SUM(C31:C32)</f>
        <v>7.415487987061935</v>
      </c>
      <c r="D33" s="70">
        <f>B33/$C$27</f>
        <v>6.5210106492331725</v>
      </c>
      <c r="E33" s="70">
        <f>D33/'Cost Inputs'!$C$27</f>
        <v>6.5536157024793384</v>
      </c>
      <c r="H33" s="40"/>
    </row>
    <row r="34" spans="1:8" customFormat="1" x14ac:dyDescent="0.25"/>
    <row r="35" spans="1:8" customFormat="1" ht="30" x14ac:dyDescent="0.25">
      <c r="A35" s="8" t="s">
        <v>103</v>
      </c>
      <c r="B35" s="59" t="s">
        <v>101</v>
      </c>
      <c r="C35" s="60" t="s">
        <v>144</v>
      </c>
      <c r="D35" s="59" t="s">
        <v>102</v>
      </c>
      <c r="E35" s="59" t="s">
        <v>111</v>
      </c>
      <c r="F35" s="59" t="s">
        <v>108</v>
      </c>
      <c r="G35" s="37"/>
      <c r="H35" s="59" t="s">
        <v>60</v>
      </c>
    </row>
    <row r="36" spans="1:8" customFormat="1" x14ac:dyDescent="0.25">
      <c r="A36" s="42" t="s">
        <v>6</v>
      </c>
      <c r="B36" s="68">
        <f>'Cost Inputs'!E41*'MMC Cost Estimates'!$D$27</f>
        <v>45000</v>
      </c>
      <c r="C36" s="68">
        <f>'Cost Inputs'!$B$35*'MMC Cost Estimates'!$C$27*'Cost Inputs'!F41+'Cost Inputs'!$C$35*'MMC Cost Estimates'!$J$27*'Cost Inputs'!F41</f>
        <v>1809</v>
      </c>
      <c r="D36" s="68">
        <f>SUM(B36:C36)</f>
        <v>46809</v>
      </c>
      <c r="E36" s="71">
        <f>D36*'Cost Inputs'!B41</f>
        <v>10297.98</v>
      </c>
      <c r="F36" s="79">
        <f>E36/D36</f>
        <v>0.22</v>
      </c>
      <c r="G36" s="37"/>
      <c r="H36" s="44">
        <f>D36*'Cost Inputs'!C41</f>
        <v>7957.5300000000007</v>
      </c>
    </row>
    <row r="37" spans="1:8" customFormat="1" x14ac:dyDescent="0.25">
      <c r="A37" s="42" t="s">
        <v>7</v>
      </c>
      <c r="B37" s="68">
        <f>'Cost Inputs'!E42*'MMC Cost Estimates'!$D$27</f>
        <v>37500</v>
      </c>
      <c r="C37" s="68">
        <f>'Cost Inputs'!$B$35*'MMC Cost Estimates'!$C$27*'Cost Inputs'!F42+'Cost Inputs'!$C$35*'MMC Cost Estimates'!$J$27*'Cost Inputs'!F42</f>
        <v>4522.5</v>
      </c>
      <c r="D37" s="68">
        <f>SUM(B37:C37)</f>
        <v>42022.5</v>
      </c>
      <c r="E37" s="71">
        <f>D37*'Cost Inputs'!B42</f>
        <v>17649.45</v>
      </c>
      <c r="F37" s="79">
        <f t="shared" ref="F37:F41" si="3">E37/D37</f>
        <v>0.42000000000000004</v>
      </c>
      <c r="G37" s="37"/>
      <c r="H37" s="44">
        <f>D37*'Cost Inputs'!C42</f>
        <v>9244.9500000000007</v>
      </c>
    </row>
    <row r="38" spans="1:8" customFormat="1" x14ac:dyDescent="0.25">
      <c r="A38" s="42" t="s">
        <v>8</v>
      </c>
      <c r="B38" s="68">
        <f>'Cost Inputs'!E43*'MMC Cost Estimates'!$D$27</f>
        <v>30000</v>
      </c>
      <c r="C38" s="68">
        <f>'Cost Inputs'!$B$35*'MMC Cost Estimates'!$C$27*'Cost Inputs'!F43+'Cost Inputs'!$C$35*'MMC Cost Estimates'!$J$27*'Cost Inputs'!F43</f>
        <v>9045</v>
      </c>
      <c r="D38" s="68">
        <f>SUM(B38:C38)</f>
        <v>39045</v>
      </c>
      <c r="E38" s="71">
        <f>D38*'Cost Inputs'!B43</f>
        <v>17960.7</v>
      </c>
      <c r="F38" s="79">
        <f t="shared" si="3"/>
        <v>0.46</v>
      </c>
      <c r="G38" s="37"/>
      <c r="H38" s="44">
        <f>D38*'Cost Inputs'!C43</f>
        <v>17570.25</v>
      </c>
    </row>
    <row r="39" spans="1:8" customFormat="1" x14ac:dyDescent="0.25">
      <c r="A39" s="42" t="s">
        <v>9</v>
      </c>
      <c r="B39" s="68">
        <f>'Cost Inputs'!E44*'MMC Cost Estimates'!$D$27</f>
        <v>30000</v>
      </c>
      <c r="C39" s="68">
        <f>'Cost Inputs'!$B$35*'MMC Cost Estimates'!$C$27*'Cost Inputs'!F44+'Cost Inputs'!$C$35*'MMC Cost Estimates'!$J$27*'Cost Inputs'!F44</f>
        <v>904.5</v>
      </c>
      <c r="D39" s="68">
        <f>SUM(B39:C39)</f>
        <v>30904.5</v>
      </c>
      <c r="E39" s="71">
        <f>D39*'Cost Inputs'!B44</f>
        <v>54391.92</v>
      </c>
      <c r="F39" s="79">
        <f t="shared" si="3"/>
        <v>1.76</v>
      </c>
      <c r="G39" s="37"/>
      <c r="H39" s="44">
        <f>D39*'Cost Inputs'!C44</f>
        <v>33994.950000000004</v>
      </c>
    </row>
    <row r="40" spans="1:8" customFormat="1" x14ac:dyDescent="0.25">
      <c r="A40" s="41" t="s">
        <v>28</v>
      </c>
      <c r="B40" s="68">
        <f>'Cost Inputs'!E45*'MMC Cost Estimates'!$D$27</f>
        <v>7500</v>
      </c>
      <c r="C40" s="68">
        <f>'Cost Inputs'!$B$35*'MMC Cost Estimates'!$C$27*'Cost Inputs'!F45+'Cost Inputs'!$C$35*'MMC Cost Estimates'!$J$27*'Cost Inputs'!F45</f>
        <v>1809</v>
      </c>
      <c r="D40" s="68">
        <f>SUM(B40:C40)</f>
        <v>9309</v>
      </c>
      <c r="E40" s="71">
        <f>D40*'Cost Inputs'!B45</f>
        <v>13963.5</v>
      </c>
      <c r="F40" s="79">
        <f t="shared" si="3"/>
        <v>1.5</v>
      </c>
      <c r="G40" s="37"/>
      <c r="H40" s="44">
        <f>D40*'Cost Inputs'!C45</f>
        <v>7912.65</v>
      </c>
    </row>
    <row r="41" spans="1:8" customFormat="1" x14ac:dyDescent="0.25">
      <c r="A41" s="54" t="s">
        <v>0</v>
      </c>
      <c r="B41" s="75">
        <f>SUM(B36:B40)</f>
        <v>150000</v>
      </c>
      <c r="C41" s="75">
        <f t="shared" ref="C41" si="4">SUM(C36:C40)</f>
        <v>18090</v>
      </c>
      <c r="D41" s="75">
        <f>SUM(D36:D40)</f>
        <v>168090</v>
      </c>
      <c r="E41" s="81">
        <f>SUM(E36:E40)</f>
        <v>114263.55</v>
      </c>
      <c r="F41" s="70">
        <f t="shared" si="3"/>
        <v>0.67977601285025879</v>
      </c>
      <c r="H41" s="44">
        <f>SUM(H36:H40)</f>
        <v>76680.33</v>
      </c>
    </row>
    <row r="42" spans="1:8" customFormat="1" x14ac:dyDescent="0.25">
      <c r="A42" s="1"/>
      <c r="B42" s="1"/>
      <c r="C42" s="1"/>
      <c r="D42" s="1"/>
      <c r="E42" s="1"/>
      <c r="F42" s="1"/>
      <c r="G42" s="1"/>
    </row>
    <row r="43" spans="1:8" customFormat="1" ht="30" x14ac:dyDescent="0.25">
      <c r="A43" s="8" t="s">
        <v>104</v>
      </c>
      <c r="B43" s="59" t="s">
        <v>101</v>
      </c>
      <c r="C43" s="60" t="s">
        <v>144</v>
      </c>
      <c r="D43" s="59" t="s">
        <v>102</v>
      </c>
      <c r="E43" s="59" t="s">
        <v>17</v>
      </c>
      <c r="F43" s="59" t="s">
        <v>108</v>
      </c>
      <c r="G43" s="1"/>
    </row>
    <row r="44" spans="1:8" customFormat="1" x14ac:dyDescent="0.25">
      <c r="A44" s="42" t="s">
        <v>77</v>
      </c>
      <c r="B44" s="68">
        <f>'Cost Inputs'!E49*'MMC Cost Estimates'!$H$27</f>
        <v>108000</v>
      </c>
      <c r="C44" s="68">
        <f>'Cost Inputs'!F49*'Cost Inputs'!$B$36*'MMC Cost Estimates'!$C$27+'Cost Inputs'!$C$36*'MMC Cost Estimates'!$J$27*'Cost Inputs'!F49</f>
        <v>22400</v>
      </c>
      <c r="D44" s="68">
        <f>SUM(B44:C44)</f>
        <v>130400</v>
      </c>
      <c r="E44" s="71">
        <f>D44*'Cost Inputs'!$D$49</f>
        <v>3912</v>
      </c>
      <c r="F44" s="79">
        <f>E44/D44</f>
        <v>0.03</v>
      </c>
      <c r="G44" s="1"/>
    </row>
    <row r="45" spans="1:8" customFormat="1" x14ac:dyDescent="0.25">
      <c r="A45" s="42" t="s">
        <v>81</v>
      </c>
      <c r="B45" s="68">
        <f>'Cost Inputs'!E50*'MMC Cost Estimates'!$H$27</f>
        <v>43200</v>
      </c>
      <c r="C45" s="68">
        <f>'Cost Inputs'!F50*'Cost Inputs'!$B$36*'MMC Cost Estimates'!$C$27+'Cost Inputs'!$C$36*'MMC Cost Estimates'!$J$27*'Cost Inputs'!F50</f>
        <v>8960</v>
      </c>
      <c r="D45" s="68">
        <f t="shared" ref="D45:D47" si="5">SUM(B45:C45)</f>
        <v>52160</v>
      </c>
      <c r="E45" s="71">
        <f>D45*'Cost Inputs'!$D$49</f>
        <v>1564.8</v>
      </c>
      <c r="F45" s="79">
        <f t="shared" ref="F45:F48" si="6">E45/D45</f>
        <v>0.03</v>
      </c>
      <c r="G45" s="1"/>
    </row>
    <row r="46" spans="1:8" customFormat="1" x14ac:dyDescent="0.25">
      <c r="A46" s="42" t="s">
        <v>78</v>
      </c>
      <c r="B46" s="68">
        <f>'Cost Inputs'!E51*'MMC Cost Estimates'!$H$27</f>
        <v>64800</v>
      </c>
      <c r="C46" s="68">
        <f>'Cost Inputs'!F51*'Cost Inputs'!$B$36*'MMC Cost Estimates'!$C$27+'Cost Inputs'!$C$36*'MMC Cost Estimates'!$J$27*'Cost Inputs'!F51</f>
        <v>13440</v>
      </c>
      <c r="D46" s="68">
        <f t="shared" si="5"/>
        <v>78240</v>
      </c>
      <c r="E46" s="71">
        <f>D46*'Cost Inputs'!$D$49</f>
        <v>2347.1999999999998</v>
      </c>
      <c r="F46" s="79">
        <f t="shared" si="6"/>
        <v>0.03</v>
      </c>
      <c r="G46" s="1"/>
    </row>
    <row r="47" spans="1:8" customFormat="1" ht="16.5" customHeight="1" x14ac:dyDescent="0.25">
      <c r="A47" s="41" t="s">
        <v>28</v>
      </c>
      <c r="B47" s="68">
        <f>'Cost Inputs'!E52*'MMC Cost Estimates'!$H$27</f>
        <v>0</v>
      </c>
      <c r="C47" s="68">
        <f>'Cost Inputs'!F52*'Cost Inputs'!$B$36*'MMC Cost Estimates'!$C$27+'Cost Inputs'!$C$36*'MMC Cost Estimates'!$J$27*'Cost Inputs'!F52</f>
        <v>0</v>
      </c>
      <c r="D47" s="68">
        <f t="shared" si="5"/>
        <v>0</v>
      </c>
      <c r="E47" s="71">
        <f>D47*'Cost Inputs'!$D$49</f>
        <v>0</v>
      </c>
      <c r="F47" s="79" t="e">
        <f t="shared" si="6"/>
        <v>#DIV/0!</v>
      </c>
      <c r="G47" s="1"/>
    </row>
    <row r="48" spans="1:8" customFormat="1" ht="16.5" customHeight="1" x14ac:dyDescent="0.25">
      <c r="A48" s="54" t="s">
        <v>0</v>
      </c>
      <c r="B48" s="75">
        <f>SUM(B44:B47)</f>
        <v>216000</v>
      </c>
      <c r="C48" s="75">
        <f>SUM(C44:C47)</f>
        <v>44800</v>
      </c>
      <c r="D48" s="75">
        <f>SUM(D44:D47)</f>
        <v>260800</v>
      </c>
      <c r="E48" s="81">
        <f t="shared" ref="E48" si="7">SUM(E44:E47)</f>
        <v>7824</v>
      </c>
      <c r="F48" s="70">
        <f t="shared" si="6"/>
        <v>0.03</v>
      </c>
      <c r="G48" s="1"/>
    </row>
    <row r="49" spans="1:8" customFormat="1" ht="16.5" customHeight="1" x14ac:dyDescent="0.25">
      <c r="A49" s="1"/>
      <c r="B49" s="1"/>
      <c r="C49" s="1"/>
      <c r="D49" s="1"/>
      <c r="E49" s="1"/>
      <c r="G49" s="1"/>
    </row>
    <row r="50" spans="1:8" customFormat="1" ht="30" customHeight="1" x14ac:dyDescent="0.25">
      <c r="A50" s="8" t="s">
        <v>105</v>
      </c>
      <c r="B50" s="59" t="s">
        <v>101</v>
      </c>
      <c r="C50" s="60" t="s">
        <v>144</v>
      </c>
      <c r="D50" s="59" t="s">
        <v>102</v>
      </c>
      <c r="E50" s="59" t="s">
        <v>17</v>
      </c>
      <c r="F50" s="59" t="s">
        <v>108</v>
      </c>
      <c r="G50" s="1"/>
    </row>
    <row r="51" spans="1:8" customFormat="1" ht="16.5" customHeight="1" x14ac:dyDescent="0.25">
      <c r="A51" s="42" t="s">
        <v>88</v>
      </c>
      <c r="B51" s="68">
        <f>E27</f>
        <v>72000</v>
      </c>
      <c r="C51" s="68">
        <f>'Cost Inputs'!$B$37*'MMC Cost Estimates'!$C$27*'Cost Inputs'!F56+'Cost Inputs'!$C$37*'MMC Cost Estimates'!$J$27*'Cost Inputs'!F56</f>
        <v>4895</v>
      </c>
      <c r="D51" s="68">
        <f>B51+C51</f>
        <v>76895</v>
      </c>
      <c r="E51" s="71">
        <f>D51*'Cost Inputs'!D56</f>
        <v>2306.85</v>
      </c>
      <c r="F51" s="79">
        <f>E51/D51</f>
        <v>0.03</v>
      </c>
      <c r="G51" s="1"/>
    </row>
    <row r="52" spans="1:8" customFormat="1" ht="16.5" customHeight="1" x14ac:dyDescent="0.25">
      <c r="A52" s="42" t="s">
        <v>83</v>
      </c>
      <c r="B52" s="68">
        <f>F27</f>
        <v>88000</v>
      </c>
      <c r="C52" s="68">
        <f>'Cost Inputs'!$B$37*'MMC Cost Estimates'!$C$27*'Cost Inputs'!F57+'Cost Inputs'!$C$37*'MMC Cost Estimates'!$J$27*'Cost Inputs'!F57</f>
        <v>4895</v>
      </c>
      <c r="D52" s="68">
        <f>B52+C52</f>
        <v>92895</v>
      </c>
      <c r="E52" s="71">
        <f>D52*'Cost Inputs'!D57</f>
        <v>2786.85</v>
      </c>
      <c r="F52" s="79">
        <f t="shared" ref="F52:F54" si="8">E52/D52</f>
        <v>0.03</v>
      </c>
      <c r="G52" s="1"/>
    </row>
    <row r="53" spans="1:8" customFormat="1" ht="16.5" customHeight="1" x14ac:dyDescent="0.25">
      <c r="A53" s="41" t="s">
        <v>87</v>
      </c>
      <c r="B53" s="68">
        <f>G27</f>
        <v>38000</v>
      </c>
      <c r="C53" s="68">
        <f>'Cost Inputs'!$B$37*'MMC Cost Estimates'!$C$27*'Cost Inputs'!F58+'Cost Inputs'!$C$37*'MMC Cost Estimates'!$J$27*'Cost Inputs'!F58</f>
        <v>0</v>
      </c>
      <c r="D53" s="68">
        <f>B53+C53</f>
        <v>38000</v>
      </c>
      <c r="E53" s="71">
        <f>D53*'Cost Inputs'!D58</f>
        <v>760</v>
      </c>
      <c r="F53" s="79">
        <f t="shared" si="8"/>
        <v>0.02</v>
      </c>
      <c r="G53" s="1"/>
    </row>
    <row r="54" spans="1:8" customFormat="1" ht="16.5" customHeight="1" x14ac:dyDescent="0.25">
      <c r="A54" s="54" t="s">
        <v>0</v>
      </c>
      <c r="B54" s="75">
        <f>SUM(B51:B53)</f>
        <v>198000</v>
      </c>
      <c r="C54" s="75">
        <f>SUM(C51:C53)</f>
        <v>9790</v>
      </c>
      <c r="D54" s="75">
        <f>SUM(D51:D53)</f>
        <v>207790</v>
      </c>
      <c r="E54" s="75">
        <f>SUM(E51:E53)</f>
        <v>5853.7</v>
      </c>
      <c r="F54" s="70">
        <f t="shared" si="8"/>
        <v>2.8171230569324798E-2</v>
      </c>
      <c r="G54" s="1"/>
    </row>
    <row r="55" spans="1:8" customFormat="1" ht="16.5" customHeight="1" x14ac:dyDescent="0.25">
      <c r="A55" s="1"/>
      <c r="B55" s="1"/>
      <c r="C55" s="1"/>
      <c r="D55" s="1"/>
      <c r="G55" s="1"/>
    </row>
    <row r="56" spans="1:8" customFormat="1" ht="30.75" customHeight="1" x14ac:dyDescent="0.25">
      <c r="A56" s="8" t="s">
        <v>107</v>
      </c>
      <c r="B56" s="59" t="s">
        <v>157</v>
      </c>
      <c r="C56" s="60" t="s">
        <v>144</v>
      </c>
      <c r="D56" s="59" t="s">
        <v>102</v>
      </c>
      <c r="E56" s="59" t="s">
        <v>17</v>
      </c>
      <c r="F56" s="59" t="s">
        <v>108</v>
      </c>
      <c r="H56" s="59" t="s">
        <v>60</v>
      </c>
    </row>
    <row r="57" spans="1:8" customFormat="1" ht="16.5" customHeight="1" x14ac:dyDescent="0.25">
      <c r="A57" s="42" t="s">
        <v>6</v>
      </c>
      <c r="B57" s="68">
        <f>'MMC Cost Estimates'!$C$27*'Cost Inputs'!$B$38*'Cost Inputs'!E62</f>
        <v>622.5</v>
      </c>
      <c r="C57" s="68">
        <f>'MMC Cost Estimates'!$J$27*'Cost Inputs'!$C$38*'Cost Inputs'!F62</f>
        <v>1410</v>
      </c>
      <c r="D57" s="23">
        <f>SUM(B57:C57)</f>
        <v>2032.5</v>
      </c>
      <c r="E57" s="44">
        <f>D57*'Cost Inputs'!B41</f>
        <v>447.15</v>
      </c>
      <c r="F57" s="79">
        <f>E57/D57</f>
        <v>0.22</v>
      </c>
      <c r="H57" s="44">
        <f>D57*'Cost Inputs'!C41</f>
        <v>345.52500000000003</v>
      </c>
    </row>
    <row r="58" spans="1:8" customFormat="1" ht="16.5" customHeight="1" x14ac:dyDescent="0.25">
      <c r="A58" s="42" t="s">
        <v>7</v>
      </c>
      <c r="B58" s="68">
        <f>'MMC Cost Estimates'!$C$27*'Cost Inputs'!$B$38*'Cost Inputs'!E63</f>
        <v>2490</v>
      </c>
      <c r="C58" s="68">
        <f>'MMC Cost Estimates'!$J$27*'Cost Inputs'!$C$38*'Cost Inputs'!F63</f>
        <v>5640</v>
      </c>
      <c r="D58" s="23">
        <f t="shared" ref="D58:D61" si="9">SUM(B58:C58)</f>
        <v>8130</v>
      </c>
      <c r="E58" s="44">
        <f>D58*'Cost Inputs'!B42</f>
        <v>3414.6</v>
      </c>
      <c r="F58" s="79">
        <f t="shared" ref="F58:F62" si="10">E58/D58</f>
        <v>0.42</v>
      </c>
      <c r="H58" s="44">
        <f>D58*'Cost Inputs'!C42</f>
        <v>1788.6</v>
      </c>
    </row>
    <row r="59" spans="1:8" customFormat="1" ht="16.5" customHeight="1" x14ac:dyDescent="0.25">
      <c r="A59" s="42" t="s">
        <v>8</v>
      </c>
      <c r="B59" s="68">
        <f>'MMC Cost Estimates'!$C$27*'Cost Inputs'!$B$38*'Cost Inputs'!E64</f>
        <v>6225</v>
      </c>
      <c r="C59" s="68">
        <f>'MMC Cost Estimates'!$J$27*'Cost Inputs'!$C$38*'Cost Inputs'!F64</f>
        <v>14100</v>
      </c>
      <c r="D59" s="23">
        <f t="shared" si="9"/>
        <v>20325</v>
      </c>
      <c r="E59" s="44">
        <f>D59*'Cost Inputs'!B43</f>
        <v>9349.5</v>
      </c>
      <c r="F59" s="79">
        <f t="shared" si="10"/>
        <v>0.46</v>
      </c>
      <c r="H59" s="44">
        <f>D59*'Cost Inputs'!C43</f>
        <v>9146.25</v>
      </c>
    </row>
    <row r="60" spans="1:8" customFormat="1" ht="16.5" customHeight="1" x14ac:dyDescent="0.25">
      <c r="A60" s="42" t="s">
        <v>9</v>
      </c>
      <c r="B60" s="68">
        <f>'MMC Cost Estimates'!$C$27*'Cost Inputs'!$B$38*'Cost Inputs'!E65</f>
        <v>3112.5</v>
      </c>
      <c r="C60" s="68">
        <f>'MMC Cost Estimates'!$J$27*'Cost Inputs'!$C$38*'Cost Inputs'!F65</f>
        <v>7050</v>
      </c>
      <c r="D60" s="23">
        <f t="shared" si="9"/>
        <v>10162.5</v>
      </c>
      <c r="E60" s="44">
        <f>D60*'Cost Inputs'!B44</f>
        <v>17886</v>
      </c>
      <c r="F60" s="79">
        <f t="shared" si="10"/>
        <v>1.76</v>
      </c>
      <c r="H60" s="44">
        <f>D60*'Cost Inputs'!C44</f>
        <v>11178.75</v>
      </c>
    </row>
    <row r="61" spans="1:8" customFormat="1" ht="16.5" customHeight="1" x14ac:dyDescent="0.25">
      <c r="A61" s="41" t="s">
        <v>28</v>
      </c>
      <c r="B61" s="68">
        <f>'MMC Cost Estimates'!$C$27*'Cost Inputs'!$B$38*'Cost Inputs'!E66</f>
        <v>0</v>
      </c>
      <c r="C61" s="68">
        <f>'MMC Cost Estimates'!$J$27*'Cost Inputs'!$C$38*'Cost Inputs'!F66</f>
        <v>0</v>
      </c>
      <c r="D61" s="23">
        <f t="shared" si="9"/>
        <v>0</v>
      </c>
      <c r="E61" s="44">
        <f>D61*'Cost Inputs'!B45</f>
        <v>0</v>
      </c>
      <c r="F61" s="79" t="e">
        <f t="shared" si="10"/>
        <v>#DIV/0!</v>
      </c>
      <c r="H61" s="44">
        <f>D61*'Cost Inputs'!C45</f>
        <v>0</v>
      </c>
    </row>
    <row r="62" spans="1:8" customFormat="1" ht="16.5" customHeight="1" x14ac:dyDescent="0.25">
      <c r="A62" s="54" t="s">
        <v>0</v>
      </c>
      <c r="B62" s="75">
        <f>SUM(B57:B61)</f>
        <v>12450</v>
      </c>
      <c r="C62" s="75">
        <f>SUM(C57:C61)</f>
        <v>28200</v>
      </c>
      <c r="D62" s="75">
        <f>SUM(D57:D61)</f>
        <v>40650</v>
      </c>
      <c r="E62" s="81">
        <f>SUM(E57:E61)</f>
        <v>31097.25</v>
      </c>
      <c r="F62" s="70">
        <f t="shared" si="10"/>
        <v>0.76500000000000001</v>
      </c>
      <c r="H62" s="44">
        <f>SUM(H57:H61)</f>
        <v>22459.125</v>
      </c>
    </row>
    <row r="63" spans="1:8" customFormat="1" ht="16.5" customHeight="1" x14ac:dyDescent="0.25">
      <c r="A63" s="37"/>
      <c r="B63" s="85"/>
      <c r="C63" s="85"/>
      <c r="D63" s="85"/>
      <c r="E63" s="86"/>
      <c r="F63" s="87"/>
      <c r="H63" s="94"/>
    </row>
    <row r="64" spans="1:8" customFormat="1" ht="16.5" customHeight="1" x14ac:dyDescent="0.25"/>
  </sheetData>
  <pageMargins left="0.52" right="0.51" top="0.87" bottom="0.68" header="0.5" footer="0.5"/>
  <pageSetup scale="95" orientation="landscape" r:id="rId1"/>
  <headerFooter alignWithMargins="0">
    <oddHeader>&amp;C&amp;"Arial,Bold"&amp;14MMC 80/20 Resource Allocation Planning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7"/>
  <sheetViews>
    <sheetView zoomScaleNormal="100" workbookViewId="0">
      <selection activeCell="J10" sqref="J10"/>
    </sheetView>
  </sheetViews>
  <sheetFormatPr defaultRowHeight="15" x14ac:dyDescent="0.25"/>
  <cols>
    <col min="2" max="2" width="26.42578125" customWidth="1"/>
    <col min="3" max="8" width="12.7109375" customWidth="1"/>
  </cols>
  <sheetData>
    <row r="1" spans="2:8" x14ac:dyDescent="0.25">
      <c r="B1" s="96" t="s">
        <v>115</v>
      </c>
      <c r="G1" s="96" t="s">
        <v>123</v>
      </c>
    </row>
    <row r="2" spans="2:8" ht="30" x14ac:dyDescent="0.25">
      <c r="B2" s="8" t="s">
        <v>67</v>
      </c>
      <c r="C2" s="8" t="s">
        <v>17</v>
      </c>
      <c r="D2" s="22" t="s">
        <v>110</v>
      </c>
      <c r="E2" s="22" t="s">
        <v>68</v>
      </c>
      <c r="G2" s="22" t="s">
        <v>120</v>
      </c>
      <c r="H2" s="22" t="s">
        <v>121</v>
      </c>
    </row>
    <row r="3" spans="2:8" x14ac:dyDescent="0.25">
      <c r="B3" s="82" t="s">
        <v>49</v>
      </c>
      <c r="C3" s="44">
        <f>'MMC Cost Estimates'!C16+'Cost Inputs'!B19</f>
        <v>69753.656990529445</v>
      </c>
      <c r="D3" s="100">
        <v>0.5</v>
      </c>
      <c r="E3" s="44">
        <f t="shared" ref="E3:E9" si="0">C3/(1-D3)</f>
        <v>139507.31398105889</v>
      </c>
      <c r="G3" s="97">
        <f>E3/'Targeting Inputs'!$C$27</f>
        <v>6.3412415445935864</v>
      </c>
      <c r="H3" s="97">
        <f>G3/'Targeting Inputs'!$K$4</f>
        <v>0.52843679538279886</v>
      </c>
    </row>
    <row r="4" spans="2:8" x14ac:dyDescent="0.25">
      <c r="B4" s="82" t="s">
        <v>69</v>
      </c>
      <c r="C4" s="44">
        <f>'MMC Cost Estimates'!E16</f>
        <v>106500</v>
      </c>
      <c r="D4" s="100">
        <v>0.5</v>
      </c>
      <c r="E4" s="44">
        <f t="shared" si="0"/>
        <v>213000</v>
      </c>
      <c r="G4" s="97">
        <f>E4/'Targeting Inputs'!$C$27</f>
        <v>9.6818181818181817</v>
      </c>
      <c r="H4" s="97">
        <f>G4/'Targeting Inputs'!$K$4</f>
        <v>0.80681818181818177</v>
      </c>
    </row>
    <row r="5" spans="2:8" x14ac:dyDescent="0.25">
      <c r="B5" s="82" t="s">
        <v>2</v>
      </c>
      <c r="C5" s="44">
        <f>'MMC Cost Estimates'!B33</f>
        <v>541243.88388635335</v>
      </c>
      <c r="D5" s="100">
        <v>0.5</v>
      </c>
      <c r="E5" s="44">
        <f t="shared" si="0"/>
        <v>1082487.7677727067</v>
      </c>
      <c r="G5" s="97">
        <f>E5/'Targeting Inputs'!$C$27</f>
        <v>49.203989444213938</v>
      </c>
      <c r="H5" s="97">
        <f>G5/'Targeting Inputs'!$K$4</f>
        <v>4.1003324536844952</v>
      </c>
    </row>
    <row r="6" spans="2:8" x14ac:dyDescent="0.25">
      <c r="B6" s="82" t="s">
        <v>57</v>
      </c>
      <c r="C6" s="44">
        <f>'MMC Cost Estimates'!E41</f>
        <v>114263.55</v>
      </c>
      <c r="D6" s="100">
        <v>0.5</v>
      </c>
      <c r="E6" s="44">
        <f t="shared" si="0"/>
        <v>228527.1</v>
      </c>
      <c r="G6" s="97">
        <f>E6/'Targeting Inputs'!$C$27</f>
        <v>10.387595454545455</v>
      </c>
      <c r="H6" s="97">
        <f>G6/'Targeting Inputs'!$K$4</f>
        <v>0.86563295454545452</v>
      </c>
    </row>
    <row r="7" spans="2:8" x14ac:dyDescent="0.25">
      <c r="B7" s="82" t="s">
        <v>63</v>
      </c>
      <c r="C7" s="44">
        <f>'MMC Cost Estimates'!E48</f>
        <v>7824</v>
      </c>
      <c r="D7" s="100">
        <v>0.5</v>
      </c>
      <c r="E7" s="44">
        <f t="shared" si="0"/>
        <v>15648</v>
      </c>
      <c r="G7" s="97">
        <f>E7/'Targeting Inputs'!$C$27</f>
        <v>0.71127272727272728</v>
      </c>
      <c r="H7" s="97">
        <f>G7/'Targeting Inputs'!$K$4</f>
        <v>5.9272727272727276E-2</v>
      </c>
    </row>
    <row r="8" spans="2:8" x14ac:dyDescent="0.25">
      <c r="B8" s="82" t="s">
        <v>28</v>
      </c>
      <c r="C8" s="44">
        <f>'MMC Cost Estimates'!E54</f>
        <v>5853.7</v>
      </c>
      <c r="D8" s="100">
        <v>0.5</v>
      </c>
      <c r="E8" s="44">
        <f t="shared" si="0"/>
        <v>11707.4</v>
      </c>
      <c r="G8" s="97">
        <f>E8/'Targeting Inputs'!$C$27</f>
        <v>0.53215454545454544</v>
      </c>
      <c r="H8" s="97">
        <f>G8/'Targeting Inputs'!$K$4</f>
        <v>4.434621212121212E-2</v>
      </c>
    </row>
    <row r="9" spans="2:8" x14ac:dyDescent="0.25">
      <c r="B9" s="82" t="s">
        <v>106</v>
      </c>
      <c r="C9" s="44">
        <f>'MMC Cost Estimates'!E62</f>
        <v>31097.25</v>
      </c>
      <c r="D9" s="100">
        <v>0.5</v>
      </c>
      <c r="E9" s="44">
        <f t="shared" si="0"/>
        <v>62194.5</v>
      </c>
      <c r="G9" s="97">
        <f>E9/'Targeting Inputs'!$C$27</f>
        <v>2.8270227272727273</v>
      </c>
      <c r="H9" s="97">
        <f>G9/'Targeting Inputs'!$K$4</f>
        <v>0.23558522727272727</v>
      </c>
    </row>
    <row r="10" spans="2:8" x14ac:dyDescent="0.25">
      <c r="B10" s="82" t="s">
        <v>112</v>
      </c>
      <c r="C10" s="50">
        <f>SUMIF('Cost Inputs'!G35:G37,"&lt;&gt;0",'Cost Inputs'!F35:F37)</f>
        <v>1025</v>
      </c>
      <c r="D10" s="110">
        <f t="shared" ref="D10:D11" si="1">1-C10/E10</f>
        <v>0.15441941074523402</v>
      </c>
      <c r="E10" s="44">
        <f>SUMIF('Cost Inputs'!G35:G37,"&lt;&gt;0",'Cost Inputs'!H35:H37)</f>
        <v>1212.1848739495799</v>
      </c>
      <c r="G10" s="97">
        <f>E10/'Targeting Inputs'!$C$27</f>
        <v>5.5099312452253635E-2</v>
      </c>
      <c r="H10" s="97">
        <f>G10/'Targeting Inputs'!$K$4</f>
        <v>4.5916093710211365E-3</v>
      </c>
    </row>
    <row r="11" spans="2:8" x14ac:dyDescent="0.25">
      <c r="B11" s="26" t="s">
        <v>0</v>
      </c>
      <c r="C11" s="91">
        <f>SUM(C3:C10)</f>
        <v>877561.04087688285</v>
      </c>
      <c r="D11" s="92">
        <f t="shared" si="1"/>
        <v>0.49976120884682473</v>
      </c>
      <c r="E11" s="91">
        <f>SUM(E3:E10)</f>
        <v>1754284.2666277152</v>
      </c>
      <c r="G11" s="98">
        <f>E11/'Targeting Inputs'!$C$27</f>
        <v>79.740193937623417</v>
      </c>
      <c r="H11" s="98">
        <f>G11/'Targeting Inputs'!$K$4</f>
        <v>6.6450161614686181</v>
      </c>
    </row>
    <row r="12" spans="2:8" x14ac:dyDescent="0.25">
      <c r="B12" s="82"/>
      <c r="C12" s="82"/>
      <c r="D12" s="82"/>
      <c r="E12" s="82"/>
      <c r="G12" s="82"/>
      <c r="H12" s="97"/>
    </row>
    <row r="13" spans="2:8" x14ac:dyDescent="0.25">
      <c r="B13" s="89" t="s">
        <v>70</v>
      </c>
      <c r="C13" s="82"/>
      <c r="D13" s="82"/>
      <c r="E13" s="82"/>
      <c r="G13" s="82"/>
      <c r="H13" s="97"/>
    </row>
    <row r="14" spans="2:8" x14ac:dyDescent="0.25">
      <c r="B14" s="82" t="s">
        <v>60</v>
      </c>
      <c r="C14" s="90">
        <f>'MMC Cost Estimates'!H41+'MMC Cost Estimates'!H62</f>
        <v>99139.455000000002</v>
      </c>
      <c r="D14" s="105">
        <v>0</v>
      </c>
      <c r="E14" s="44">
        <f>C14/(1-D14)</f>
        <v>99139.455000000002</v>
      </c>
      <c r="G14" s="97">
        <f>E14/'Targeting Inputs'!$C$27</f>
        <v>4.5063388636363637</v>
      </c>
      <c r="H14" s="97">
        <f>G14/'Targeting Inputs'!$K$4</f>
        <v>0.37552823863636364</v>
      </c>
    </row>
    <row r="15" spans="2:8" x14ac:dyDescent="0.25">
      <c r="B15" s="82" t="s">
        <v>112</v>
      </c>
      <c r="C15" s="44">
        <f>SUMIF('Cost Inputs'!G35:G37,"=0",'Cost Inputs'!F35:F37)</f>
        <v>10</v>
      </c>
      <c r="D15" s="105">
        <v>0</v>
      </c>
      <c r="E15" s="50">
        <f>SUMIF('Cost Inputs'!G35:G37,0,'Cost Inputs'!H35:H37)</f>
        <v>10</v>
      </c>
      <c r="G15" s="97">
        <f>E15/'Targeting Inputs'!$C$27</f>
        <v>4.5454545454545455E-4</v>
      </c>
      <c r="H15" s="97">
        <f>G15/'Targeting Inputs'!$K$4</f>
        <v>3.7878787878787879E-5</v>
      </c>
    </row>
    <row r="16" spans="2:8" x14ac:dyDescent="0.25">
      <c r="B16" s="26" t="s">
        <v>0</v>
      </c>
      <c r="C16" s="93">
        <f>SUM(C14:C15)</f>
        <v>99149.455000000002</v>
      </c>
      <c r="D16" s="92">
        <f t="shared" ref="D16:D18" si="2">1-C16/E16</f>
        <v>0</v>
      </c>
      <c r="E16" s="93">
        <f>SUM(E14:E15)</f>
        <v>99149.455000000002</v>
      </c>
      <c r="G16" s="97">
        <f>E16/'Targeting Inputs'!$C$27</f>
        <v>4.5067934090909088</v>
      </c>
      <c r="H16" s="97">
        <f>G16/'Targeting Inputs'!$K$4</f>
        <v>0.3755661174242424</v>
      </c>
    </row>
    <row r="17" spans="2:8" x14ac:dyDescent="0.25">
      <c r="B17" s="82"/>
      <c r="C17" s="82"/>
      <c r="D17" s="82"/>
      <c r="E17" s="82"/>
      <c r="G17" s="82"/>
      <c r="H17" s="97"/>
    </row>
    <row r="18" spans="2:8" x14ac:dyDescent="0.25">
      <c r="B18" s="26" t="s">
        <v>113</v>
      </c>
      <c r="C18" s="93">
        <f>C11+C16</f>
        <v>976710.49587688281</v>
      </c>
      <c r="D18" s="92">
        <f t="shared" si="2"/>
        <v>0.4730264781094411</v>
      </c>
      <c r="E18" s="93">
        <f>E16+E11</f>
        <v>1853433.7216277153</v>
      </c>
      <c r="G18" s="98">
        <f>E18/'Targeting Inputs'!$C$27</f>
        <v>84.246987346714334</v>
      </c>
      <c r="H18" s="98">
        <f>G18/'Targeting Inputs'!$K$4</f>
        <v>7.0205822788928609</v>
      </c>
    </row>
    <row r="20" spans="2:8" x14ac:dyDescent="0.25">
      <c r="B20" s="96" t="s">
        <v>116</v>
      </c>
    </row>
    <row r="21" spans="2:8" x14ac:dyDescent="0.25">
      <c r="B21" s="8" t="s">
        <v>16</v>
      </c>
      <c r="C21" s="8" t="s">
        <v>2</v>
      </c>
      <c r="D21" s="22" t="s">
        <v>3</v>
      </c>
      <c r="E21" s="22" t="s">
        <v>4</v>
      </c>
      <c r="F21" s="22" t="s">
        <v>28</v>
      </c>
      <c r="G21" s="22" t="s">
        <v>0</v>
      </c>
    </row>
    <row r="22" spans="2:8" x14ac:dyDescent="0.25">
      <c r="B22" s="82" t="s">
        <v>34</v>
      </c>
      <c r="C22" s="23">
        <f>'Targeting Inputs'!$C$27</f>
        <v>22000</v>
      </c>
      <c r="D22" s="23">
        <f>'Targeting Inputs'!$C$27</f>
        <v>22000</v>
      </c>
      <c r="E22" s="23">
        <f>'Targeting Inputs'!$C$27</f>
        <v>22000</v>
      </c>
      <c r="F22" s="23">
        <f>'Targeting Inputs'!$C$27</f>
        <v>22000</v>
      </c>
      <c r="G22" s="23">
        <f>'Targeting Inputs'!$C$27</f>
        <v>22000</v>
      </c>
    </row>
    <row r="23" spans="2:8" x14ac:dyDescent="0.25">
      <c r="B23" s="82" t="s">
        <v>117</v>
      </c>
      <c r="C23" s="23">
        <f>'MMC Cost Estimates'!C27</f>
        <v>83000</v>
      </c>
      <c r="D23" s="23">
        <f>'MMC Cost Estimates'!D41</f>
        <v>168090</v>
      </c>
      <c r="E23" s="23">
        <f>'MMC Cost Estimates'!D48</f>
        <v>260800</v>
      </c>
      <c r="F23" s="23">
        <f>SUM('MMC Cost Estimates'!D54+'MMC Cost Estimates'!D62)</f>
        <v>248440</v>
      </c>
      <c r="G23" s="23">
        <f>SUM(C23:F23)</f>
        <v>760330</v>
      </c>
    </row>
    <row r="24" spans="2:8" x14ac:dyDescent="0.25">
      <c r="B24" s="82" t="s">
        <v>118</v>
      </c>
      <c r="C24" s="83">
        <f>C23/C22</f>
        <v>3.7727272727272729</v>
      </c>
      <c r="D24" s="83">
        <f t="shared" ref="D24:G24" si="3">D23/D22</f>
        <v>7.6404545454545456</v>
      </c>
      <c r="E24" s="83">
        <f t="shared" si="3"/>
        <v>11.854545454545455</v>
      </c>
      <c r="F24" s="83">
        <f t="shared" si="3"/>
        <v>11.292727272727273</v>
      </c>
      <c r="G24" s="83">
        <f t="shared" si="3"/>
        <v>34.560454545454547</v>
      </c>
    </row>
    <row r="25" spans="2:8" x14ac:dyDescent="0.25">
      <c r="B25" s="82" t="s">
        <v>119</v>
      </c>
      <c r="C25" s="83">
        <f>C24/'Targeting Inputs'!$K$4</f>
        <v>0.31439393939393939</v>
      </c>
      <c r="D25" s="83">
        <f>D24/'Targeting Inputs'!$K$4</f>
        <v>0.63670454545454547</v>
      </c>
      <c r="E25" s="83">
        <f>E24/'Targeting Inputs'!$K$4</f>
        <v>0.98787878787878791</v>
      </c>
      <c r="F25" s="83">
        <f>F24/'Targeting Inputs'!$K$4</f>
        <v>0.94106060606060604</v>
      </c>
      <c r="G25" s="83">
        <f>G24/'Targeting Inputs'!$K$4</f>
        <v>2.8800378787878791</v>
      </c>
    </row>
    <row r="26" spans="2:8" x14ac:dyDescent="0.25">
      <c r="B26" s="82" t="s">
        <v>122</v>
      </c>
      <c r="C26" s="43">
        <f>E5/C23</f>
        <v>13.042021298466345</v>
      </c>
      <c r="D26" s="43">
        <f>E6/D23</f>
        <v>1.3595520257005176</v>
      </c>
      <c r="E26" s="43">
        <f>E7/E23</f>
        <v>0.06</v>
      </c>
      <c r="F26" s="43">
        <f>SUM(E8:E9)/F23</f>
        <v>0.29746377394944451</v>
      </c>
      <c r="G26" s="43">
        <f>SUM(E5:E9)/G23</f>
        <v>1.842048541781472</v>
      </c>
    </row>
    <row r="27" spans="2:8" x14ac:dyDescent="0.25">
      <c r="B27" s="108" t="s">
        <v>158</v>
      </c>
      <c r="C27" s="109">
        <f>'MMC Cost Estimates'!C33</f>
        <v>7.415487987061935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21"/>
  <sheetViews>
    <sheetView tabSelected="1" workbookViewId="0">
      <selection activeCell="C21" sqref="C21"/>
    </sheetView>
  </sheetViews>
  <sheetFormatPr defaultRowHeight="15" x14ac:dyDescent="0.25"/>
  <sheetData>
    <row r="3" spans="2:3" x14ac:dyDescent="0.25">
      <c r="B3" t="s">
        <v>179</v>
      </c>
      <c r="C3" t="s">
        <v>191</v>
      </c>
    </row>
    <row r="5" spans="2:3" x14ac:dyDescent="0.25">
      <c r="B5" t="s">
        <v>180</v>
      </c>
      <c r="C5" t="s">
        <v>182</v>
      </c>
    </row>
    <row r="7" spans="2:3" x14ac:dyDescent="0.25">
      <c r="B7" t="s">
        <v>181</v>
      </c>
      <c r="C7" t="s">
        <v>185</v>
      </c>
    </row>
    <row r="9" spans="2:3" x14ac:dyDescent="0.25">
      <c r="B9" t="s">
        <v>184</v>
      </c>
      <c r="C9" t="s">
        <v>192</v>
      </c>
    </row>
    <row r="10" spans="2:3" x14ac:dyDescent="0.25">
      <c r="C10" t="s">
        <v>186</v>
      </c>
    </row>
    <row r="12" spans="2:3" x14ac:dyDescent="0.25">
      <c r="B12" t="s">
        <v>193</v>
      </c>
      <c r="C12" t="s">
        <v>188</v>
      </c>
    </row>
    <row r="13" spans="2:3" x14ac:dyDescent="0.25">
      <c r="C13" t="s">
        <v>189</v>
      </c>
    </row>
    <row r="15" spans="2:3" x14ac:dyDescent="0.25">
      <c r="B15" t="s">
        <v>187</v>
      </c>
      <c r="C15" t="s">
        <v>183</v>
      </c>
    </row>
    <row r="17" spans="2:3" x14ac:dyDescent="0.25">
      <c r="B17" t="s">
        <v>190</v>
      </c>
      <c r="C17" t="s">
        <v>195</v>
      </c>
    </row>
    <row r="19" spans="2:3" x14ac:dyDescent="0.25">
      <c r="B19" t="s">
        <v>194</v>
      </c>
      <c r="C19" t="s">
        <v>196</v>
      </c>
    </row>
    <row r="21" spans="2:3" x14ac:dyDescent="0.25">
      <c r="B21" t="s">
        <v>197</v>
      </c>
      <c r="C21" t="s">
        <v>198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Targeting Inputs</vt:lpstr>
      <vt:lpstr>Cost Inputs</vt:lpstr>
      <vt:lpstr>MMC Cost Estimates</vt:lpstr>
      <vt:lpstr>Pricing Summary</vt:lpstr>
      <vt:lpstr>Axiom Feedback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Prybella</dc:creator>
  <cp:lastModifiedBy>Owner</cp:lastModifiedBy>
  <dcterms:created xsi:type="dcterms:W3CDTF">2012-06-19T15:08:10Z</dcterms:created>
  <dcterms:modified xsi:type="dcterms:W3CDTF">2012-10-24T02:08:37Z</dcterms:modified>
</cp:coreProperties>
</file>