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hidePivotFieldList="1" autoCompressPictures="0"/>
  <bookViews>
    <workbookView xWindow="0" yWindow="0" windowWidth="25600" windowHeight="16060" activeTab="2"/>
  </bookViews>
  <sheets>
    <sheet name="Sheet1" sheetId="1" r:id="rId1"/>
    <sheet name="VarEst" sheetId="4" r:id="rId2"/>
    <sheet name="Impact of Stratification" sheetId="2" r:id="rId3"/>
    <sheet name="Sheet3" sheetId="3" r:id="rId4"/>
  </sheets>
  <calcPr calcId="140001" concurrentCalc="0"/>
  <pivotCaches>
    <pivotCache cacheId="10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9" i="2" l="1"/>
  <c r="G59" i="2"/>
  <c r="F59" i="2"/>
  <c r="E59" i="2"/>
  <c r="H56" i="2"/>
  <c r="G56" i="2"/>
  <c r="F56" i="2"/>
  <c r="E56" i="2"/>
  <c r="G42" i="2"/>
  <c r="F42" i="2"/>
  <c r="E42" i="2"/>
  <c r="G39" i="2"/>
  <c r="F39" i="2"/>
  <c r="E39" i="2"/>
  <c r="J59" i="2"/>
  <c r="J58" i="2"/>
  <c r="H58" i="2"/>
  <c r="G58" i="2"/>
  <c r="F58" i="2"/>
  <c r="E58" i="2"/>
  <c r="J56" i="2"/>
  <c r="H53" i="2"/>
  <c r="J55" i="2"/>
  <c r="J52" i="2"/>
  <c r="H55" i="2"/>
  <c r="G55" i="2"/>
  <c r="F55" i="2"/>
  <c r="E55" i="2"/>
  <c r="J53" i="2"/>
  <c r="G53" i="2"/>
  <c r="F53" i="2"/>
  <c r="E53" i="2"/>
  <c r="H52" i="2"/>
  <c r="G52" i="2"/>
  <c r="F52" i="2"/>
  <c r="E52" i="2"/>
  <c r="H50" i="2"/>
  <c r="G50" i="2"/>
  <c r="F50" i="2"/>
  <c r="E50" i="2"/>
  <c r="H49" i="2"/>
  <c r="G49" i="2"/>
  <c r="F49" i="2"/>
  <c r="E49" i="2"/>
  <c r="E32" i="2"/>
  <c r="E33" i="2"/>
  <c r="F32" i="2"/>
  <c r="G32" i="2"/>
  <c r="F33" i="2"/>
  <c r="G33" i="2"/>
  <c r="E41" i="2"/>
  <c r="F41" i="2"/>
  <c r="G41" i="2"/>
  <c r="J41" i="2"/>
  <c r="G36" i="2"/>
  <c r="G38" i="2"/>
  <c r="F36" i="2"/>
  <c r="F38" i="2"/>
  <c r="E36" i="2"/>
  <c r="E38" i="2"/>
  <c r="J39" i="2"/>
  <c r="J36" i="2"/>
  <c r="J38" i="2"/>
  <c r="E35" i="2"/>
  <c r="F35" i="2"/>
  <c r="G35" i="2"/>
  <c r="J35" i="2"/>
  <c r="E26" i="2"/>
  <c r="F26" i="2"/>
  <c r="G26" i="2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N3" i="1"/>
  <c r="M3" i="1"/>
  <c r="J42" i="2"/>
</calcChain>
</file>

<file path=xl/sharedStrings.xml><?xml version="1.0" encoding="utf-8"?>
<sst xmlns="http://schemas.openxmlformats.org/spreadsheetml/2006/main" count="406" uniqueCount="151">
  <si>
    <t>OBJECTID</t>
  </si>
  <si>
    <t>FID_Nordegg_2016_snapped</t>
  </si>
  <si>
    <t>Site</t>
  </si>
  <si>
    <t>WaterbodyN</t>
  </si>
  <si>
    <t>TTMEasting</t>
  </si>
  <si>
    <t>TTMNorthin</t>
  </si>
  <si>
    <t>HUC10</t>
  </si>
  <si>
    <t>DateSample</t>
  </si>
  <si>
    <t>Method</t>
  </si>
  <si>
    <t>AverageWet</t>
  </si>
  <si>
    <t>DistanceSa</t>
  </si>
  <si>
    <t>Effort_s</t>
  </si>
  <si>
    <t>BKTR_100m</t>
  </si>
  <si>
    <t>BLTR_100m</t>
  </si>
  <si>
    <t>BURB_100m</t>
  </si>
  <si>
    <t>MNWH_100m</t>
  </si>
  <si>
    <t>BKTR_100_1</t>
  </si>
  <si>
    <t>BLTR_100_1</t>
  </si>
  <si>
    <t>BURB_100_1</t>
  </si>
  <si>
    <t>MNWH_100_1</t>
  </si>
  <si>
    <t>BKTR_100s</t>
  </si>
  <si>
    <t>BLTR_100s</t>
  </si>
  <si>
    <t>BURB_100s</t>
  </si>
  <si>
    <t>MNWH_100s</t>
  </si>
  <si>
    <t>WB_ID</t>
  </si>
  <si>
    <t>NAME</t>
  </si>
  <si>
    <t>Feature_Type</t>
  </si>
  <si>
    <t>STR_ORDER</t>
  </si>
  <si>
    <t>UP-04</t>
  </si>
  <si>
    <t>UNNAMED</t>
  </si>
  <si>
    <t>Upper Nordegg River</t>
  </si>
  <si>
    <t>Backpack Electrofishing</t>
  </si>
  <si>
    <t>STR-RECUR</t>
  </si>
  <si>
    <t>3</t>
  </si>
  <si>
    <t>UP-01</t>
  </si>
  <si>
    <t>SWALE CREEK</t>
  </si>
  <si>
    <t>MID-03</t>
  </si>
  <si>
    <t>RAPID CREEK</t>
  </si>
  <si>
    <t>Middle Nordegg River</t>
  </si>
  <si>
    <t>STR-INDEF</t>
  </si>
  <si>
    <t>4</t>
  </si>
  <si>
    <t>UP-06</t>
  </si>
  <si>
    <t>COLT CREEK</t>
  </si>
  <si>
    <t>STR-PER</t>
  </si>
  <si>
    <t>MID-14</t>
  </si>
  <si>
    <t>UP-07</t>
  </si>
  <si>
    <t>NORDEGG RIVER</t>
  </si>
  <si>
    <t>UP-05</t>
  </si>
  <si>
    <t>5</t>
  </si>
  <si>
    <t>MID-06</t>
  </si>
  <si>
    <t>MID-27</t>
  </si>
  <si>
    <t>STEVENS CREEK</t>
  </si>
  <si>
    <t>MID-08</t>
  </si>
  <si>
    <t>UP-02</t>
  </si>
  <si>
    <t>MID-30</t>
  </si>
  <si>
    <t>GREY OWL CREEK</t>
  </si>
  <si>
    <t>MID-19</t>
  </si>
  <si>
    <t>MID-09</t>
  </si>
  <si>
    <t>MID-04</t>
  </si>
  <si>
    <t>MID-16</t>
  </si>
  <si>
    <t>UP-08</t>
  </si>
  <si>
    <t>MID-17</t>
  </si>
  <si>
    <t>MID-11</t>
  </si>
  <si>
    <t>STEVEN'S CREEK</t>
  </si>
  <si>
    <t>MID-20</t>
  </si>
  <si>
    <t>T1</t>
  </si>
  <si>
    <t>MID-05</t>
  </si>
  <si>
    <t>UP-03</t>
  </si>
  <si>
    <t>WAWA CREEK</t>
  </si>
  <si>
    <t>MID-01</t>
  </si>
  <si>
    <t>MID-15</t>
  </si>
  <si>
    <t>UP-01-FLOAT</t>
  </si>
  <si>
    <t>Float Electrofishing</t>
  </si>
  <si>
    <t>RIV-MAJ-REP-PRI</t>
  </si>
  <si>
    <t>UP-02-FLOAT</t>
  </si>
  <si>
    <t>MID-38</t>
  </si>
  <si>
    <t>SYLVESTER CREEK</t>
  </si>
  <si>
    <t>2</t>
  </si>
  <si>
    <t>LOW-08</t>
  </si>
  <si>
    <t>Lower Nordegg River</t>
  </si>
  <si>
    <t>MID-13</t>
  </si>
  <si>
    <t>UP-03-FLOAT</t>
  </si>
  <si>
    <t>LOW-05</t>
  </si>
  <si>
    <t>MID-37</t>
  </si>
  <si>
    <t>LOW-15</t>
  </si>
  <si>
    <t>LOW-06</t>
  </si>
  <si>
    <t>LOW-04</t>
  </si>
  <si>
    <t>LOW-14</t>
  </si>
  <si>
    <t>LOW-25</t>
  </si>
  <si>
    <t>LOW-20</t>
  </si>
  <si>
    <t>LOW-16</t>
  </si>
  <si>
    <t>Catch</t>
  </si>
  <si>
    <t>Catch Rate (fish / 100m)</t>
  </si>
  <si>
    <t>Catch Rate (fish / 100s)</t>
  </si>
  <si>
    <t>In order to evalate the impact of stratification, you need several pieces of information</t>
  </si>
  <si>
    <t>(a)</t>
  </si>
  <si>
    <t>Variance by strata</t>
  </si>
  <si>
    <t>(b)</t>
  </si>
  <si>
    <t xml:space="preserve">Population weight of each stratum. </t>
  </si>
  <si>
    <t>For example, If you were planning to stratify by HUC10, you need to know the proportion of the total stream lenghts in each HUC zone</t>
  </si>
  <si>
    <t>If the original data were collected as an SRS, this is straight forward. You simply, divide by stratum and find the within stratum variance</t>
  </si>
  <si>
    <t>But if the original data were collected using a stratified design using one stratification, then it is complex to determine the variances under a different stratification - contact me</t>
  </si>
  <si>
    <t>©</t>
  </si>
  <si>
    <t>The allocation methods to allocate sample. The most common methods are</t>
  </si>
  <si>
    <t>Equal allocation</t>
  </si>
  <si>
    <t>Proportional alloc</t>
  </si>
  <si>
    <t>- split total sample size among each stratum</t>
  </si>
  <si>
    <t>- split sample among strata proportion to stratum weights from (b)</t>
  </si>
  <si>
    <t>Optimal alloc</t>
  </si>
  <si>
    <t>- split samples proportion to straum weights x stratum SD</t>
  </si>
  <si>
    <t>I will look at data collected from Norgegg assuming the data is collected orignally as an SRS</t>
  </si>
  <si>
    <t>Total sample size</t>
  </si>
  <si>
    <t>This is arbitrary</t>
  </si>
  <si>
    <t>Simple random sample (no finite populatio correciton applied)</t>
  </si>
  <si>
    <t>SD</t>
  </si>
  <si>
    <t>BKTR_100m (recomputed)</t>
  </si>
  <si>
    <t>BKTR_100s (recomputed)</t>
  </si>
  <si>
    <t>sample size</t>
  </si>
  <si>
    <t>SE of MEAN</t>
  </si>
  <si>
    <t>I will assume (for now) that the proporiton of sample in each stratum reflects the population weights.</t>
  </si>
  <si>
    <t>Lower</t>
  </si>
  <si>
    <t>Middle</t>
  </si>
  <si>
    <t>Upper</t>
  </si>
  <si>
    <t>Pivot tables to get information about variances by strata.</t>
  </si>
  <si>
    <t>Assumes that original data are an SRS from the population</t>
  </si>
  <si>
    <t>HUC Stratification</t>
  </si>
  <si>
    <t>Total</t>
  </si>
  <si>
    <t>Column Labels</t>
  </si>
  <si>
    <t>Grand Total</t>
  </si>
  <si>
    <t>Count of BKTR_100m (recomputed)</t>
  </si>
  <si>
    <t>StdDev of BKTR_100m (recomputed)</t>
  </si>
  <si>
    <t>Pop  weight</t>
  </si>
  <si>
    <t>Stratum SD</t>
  </si>
  <si>
    <t>BKTR CPUE 100 m</t>
  </si>
  <si>
    <t>HUC stratification</t>
  </si>
  <si>
    <t>Equal allocatin</t>
  </si>
  <si>
    <t>Projected stratum SE</t>
  </si>
  <si>
    <t>Overall</t>
  </si>
  <si>
    <t xml:space="preserve"> Sample size</t>
  </si>
  <si>
    <t xml:space="preserve"> SE of mean</t>
  </si>
  <si>
    <t>Forecast</t>
  </si>
  <si>
    <t>Proporitonal alloc</t>
  </si>
  <si>
    <t>Optimal allocation</t>
  </si>
  <si>
    <t>Stream order stratification</t>
  </si>
  <si>
    <t>Find the population weights and stratum std</t>
  </si>
  <si>
    <t>Assumes that the original data were collected under an simplr random sample without stratificaiton</t>
  </si>
  <si>
    <t>Count of STR_ORDER</t>
  </si>
  <si>
    <t>Stratum</t>
  </si>
  <si>
    <t>Eqiual allocation</t>
  </si>
  <si>
    <t>Proopritonal alloc</t>
  </si>
  <si>
    <t>Optimal allocaton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</si>
</sst>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6"/>
      <color theme="1"/>
      <name val="Calibri"/>
      <scheme val="minor"/>
    </font>
    <font>
      <sz val="11"/>
      <name val="Calibri"/>
      <scheme val="minor"/>
    </font>
    <font>
      <b/>
      <sz val="16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49" fontId="0" fillId="0" borderId="0" xfId="0" applyNumberFormat="1"/>
    <xf numFmtId="0" fontId="0" fillId="0" borderId="0" xfId="0" applyNumberFormat="1"/>
    <xf numFmtId="14" fontId="0" fillId="0" borderId="0" xfId="0" applyNumberFormat="1"/>
    <xf numFmtId="49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0" fillId="0" borderId="0" xfId="0" quotePrefix="1"/>
    <xf numFmtId="0" fontId="0" fillId="2" borderId="0" xfId="0" applyFill="1"/>
    <xf numFmtId="49" fontId="1" fillId="2" borderId="0" xfId="0" applyNumberFormat="1" applyFont="1" applyFill="1" applyAlignment="1">
      <alignment wrapText="1"/>
    </xf>
    <xf numFmtId="0" fontId="0" fillId="2" borderId="0" xfId="0" applyNumberFormat="1" applyFill="1"/>
    <xf numFmtId="164" fontId="0" fillId="0" borderId="0" xfId="0" applyNumberFormat="1"/>
    <xf numFmtId="0" fontId="1" fillId="3" borderId="0" xfId="0" applyFont="1" applyFill="1"/>
    <xf numFmtId="0" fontId="0" fillId="3" borderId="0" xfId="0" applyFill="1"/>
    <xf numFmtId="0" fontId="4" fillId="0" borderId="0" xfId="0" applyFont="1"/>
    <xf numFmtId="0" fontId="0" fillId="0" borderId="0" xfId="0" pivotButton="1"/>
    <xf numFmtId="10" fontId="0" fillId="0" borderId="0" xfId="0" applyNumberFormat="1"/>
    <xf numFmtId="2" fontId="0" fillId="0" borderId="0" xfId="0" applyNumberFormat="1"/>
    <xf numFmtId="165" fontId="0" fillId="0" borderId="0" xfId="0" applyNumberFormat="1"/>
    <xf numFmtId="164" fontId="5" fillId="4" borderId="0" xfId="0" applyNumberFormat="1" applyFont="1" applyFill="1"/>
    <xf numFmtId="165" fontId="0" fillId="4" borderId="0" xfId="0" applyNumberFormat="1" applyFill="1"/>
    <xf numFmtId="0" fontId="6" fillId="0" borderId="0" xfId="0" applyFont="1"/>
    <xf numFmtId="166" fontId="0" fillId="0" borderId="0" xfId="0" applyNumberFormat="1"/>
    <xf numFmtId="0" fontId="1" fillId="0" borderId="0" xfId="0" applyFont="1" applyAlignment="1">
      <alignment horizontal="center"/>
    </xf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l Schwarz" refreshedDate="42816.508064699075" createdVersion="4" refreshedVersion="4" minRefreshableVersion="3" recordCount="39">
  <cacheSource type="worksheet">
    <worksheetSource ref="A2:AD41" sheet="Sheet1"/>
  </cacheSource>
  <cacheFields count="30">
    <cacheField name="OBJECTID" numFmtId="0">
      <sharedItems containsSemiMixedTypes="0" containsString="0" containsNumber="1" containsInteger="1" minValue="1" maxValue="39"/>
    </cacheField>
    <cacheField name="FID_Nordegg_2016_snapped" numFmtId="0">
      <sharedItems containsSemiMixedTypes="0" containsString="0" containsNumber="1" containsInteger="1" minValue="1" maxValue="39"/>
    </cacheField>
    <cacheField name="Site" numFmtId="49">
      <sharedItems/>
    </cacheField>
    <cacheField name="WaterbodyN" numFmtId="49">
      <sharedItems/>
    </cacheField>
    <cacheField name="TTMEasting" numFmtId="0">
      <sharedItems containsSemiMixedTypes="0" containsString="0" containsNumber="1" containsInteger="1" minValue="418240" maxValue="481457"/>
    </cacheField>
    <cacheField name="TTMNorthin" numFmtId="0">
      <sharedItems containsSemiMixedTypes="0" containsString="0" containsNumber="1" containsInteger="1" minValue="5821654" maxValue="5853946"/>
    </cacheField>
    <cacheField name="HUC10" numFmtId="49">
      <sharedItems count="3">
        <s v="Upper Nordegg River"/>
        <s v="Middle Nordegg River"/>
        <s v="Lower Nordegg River"/>
      </sharedItems>
    </cacheField>
    <cacheField name="DateSample" numFmtId="14">
      <sharedItems containsSemiMixedTypes="0" containsNonDate="0" containsDate="1" containsString="0" minDate="2016-06-01T00:00:00" maxDate="2016-09-02T00:00:00"/>
    </cacheField>
    <cacheField name="Method" numFmtId="49">
      <sharedItems/>
    </cacheField>
    <cacheField name="AverageWet" numFmtId="0">
      <sharedItems containsSemiMixedTypes="0" containsString="0" containsNumber="1" minValue="1.3666666670000001" maxValue="31.666666670000001"/>
    </cacheField>
    <cacheField name="DistanceSa" numFmtId="0">
      <sharedItems containsSemiMixedTypes="0" containsString="0" containsNumber="1" containsInteger="1" minValue="100" maxValue="2000"/>
    </cacheField>
    <cacheField name="Effort_s" numFmtId="0">
      <sharedItems containsSemiMixedTypes="0" containsString="0" containsNumber="1" containsInteger="1" minValue="844" maxValue="5522"/>
    </cacheField>
    <cacheField name="BKTR_100m (recomputed)" numFmtId="0">
      <sharedItems containsSemiMixedTypes="0" containsString="0" containsNumber="1" minValue="0" maxValue="34" count="23">
        <n v="0"/>
        <n v="11.666666666666666"/>
        <n v="23.666666666666668"/>
        <n v="0.66666666666666674"/>
        <n v="3.3333333333333335"/>
        <n v="18"/>
        <n v="6.3333333333333339"/>
        <n v="8.3333333333333321"/>
        <n v="9.6"/>
        <n v="17.666666666666668"/>
        <n v="18.333333333333332"/>
        <n v="34"/>
        <n v="1"/>
        <n v="18.666666666666668"/>
        <n v="30.333333333333336"/>
        <n v="0.33333333333333337"/>
        <n v="7.0000000000000009"/>
        <n v="8.6666666666666679"/>
        <n v="5.3333333333333339"/>
        <n v="0.1"/>
        <n v="0.8"/>
        <n v="2.666666666666667"/>
        <n v="8"/>
      </sharedItems>
    </cacheField>
    <cacheField name="BKTR_100s (recomputed)" numFmtId="0">
      <sharedItems containsSemiMixedTypes="0" containsString="0" containsNumber="1" minValue="0" maxValue="3.9050535987748853"/>
    </cacheField>
    <cacheField name="BKTR_100m" numFmtId="0">
      <sharedItems containsSemiMixedTypes="0" containsString="0" containsNumber="1" containsInteger="1" minValue="0" maxValue="102"/>
    </cacheField>
    <cacheField name="BLTR_100m" numFmtId="0">
      <sharedItems containsSemiMixedTypes="0" containsString="0" containsNumber="1" containsInteger="1" minValue="0" maxValue="13"/>
    </cacheField>
    <cacheField name="BURB_100m" numFmtId="0">
      <sharedItems containsSemiMixedTypes="0" containsString="0" containsNumber="1" containsInteger="1" minValue="0" maxValue="2"/>
    </cacheField>
    <cacheField name="MNWH_100m" numFmtId="0">
      <sharedItems containsSemiMixedTypes="0" containsString="0" containsNumber="1" containsInteger="1" minValue="0" maxValue="11"/>
    </cacheField>
    <cacheField name="BKTR_100_1" numFmtId="0">
      <sharedItems containsSemiMixedTypes="0" containsString="0" containsNumber="1" containsInteger="1" minValue="0" maxValue="34"/>
    </cacheField>
    <cacheField name="BLTR_100_1" numFmtId="0">
      <sharedItems containsSemiMixedTypes="0" containsString="0" containsNumber="1" containsInteger="1" minValue="0" maxValue="4"/>
    </cacheField>
    <cacheField name="BURB_100_1" numFmtId="0">
      <sharedItems containsSemiMixedTypes="0" containsString="0" containsNumber="1" containsInteger="1" minValue="0" maxValue="1"/>
    </cacheField>
    <cacheField name="MNWH_100_1" numFmtId="0">
      <sharedItems containsSemiMixedTypes="0" containsString="0" containsNumber="1" containsInteger="1" minValue="0" maxValue="1"/>
    </cacheField>
    <cacheField name="BKTR_100s" numFmtId="0">
      <sharedItems containsSemiMixedTypes="0" containsString="0" containsNumber="1" containsInteger="1" minValue="0" maxValue="4"/>
    </cacheField>
    <cacheField name="BLTR_100s" numFmtId="0">
      <sharedItems containsSemiMixedTypes="0" containsString="0" containsNumber="1" containsInteger="1" minValue="0" maxValue="1"/>
    </cacheField>
    <cacheField name="BURB_100s" numFmtId="0">
      <sharedItems containsSemiMixedTypes="0" containsString="0" containsNumber="1" containsInteger="1" minValue="0" maxValue="0"/>
    </cacheField>
    <cacheField name="MNWH_100s" numFmtId="0">
      <sharedItems containsSemiMixedTypes="0" containsString="0" containsNumber="1" containsInteger="1" minValue="0" maxValue="0"/>
    </cacheField>
    <cacheField name="WB_ID" numFmtId="0">
      <sharedItems containsSemiMixedTypes="0" containsString="0" containsNumber="1" containsInteger="1" minValue="343" maxValue="51637"/>
    </cacheField>
    <cacheField name="NAME" numFmtId="49">
      <sharedItems/>
    </cacheField>
    <cacheField name="Feature_Type" numFmtId="49">
      <sharedItems/>
    </cacheField>
    <cacheField name="STR_ORDER" numFmtId="49">
      <sharedItems count="4">
        <s v="3"/>
        <s v="4"/>
        <s v="5"/>
        <s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n v="1"/>
    <n v="35"/>
    <s v="UP-04"/>
    <s v="UNNAMED"/>
    <n v="426414"/>
    <n v="5821654"/>
    <x v="0"/>
    <d v="2016-08-03T00:00:00"/>
    <s v="Backpack Electrofishing"/>
    <n v="2.0333333329999999"/>
    <n v="300"/>
    <n v="1350"/>
    <x v="0"/>
    <n v="0"/>
    <n v="0"/>
    <n v="13"/>
    <n v="0"/>
    <n v="0"/>
    <n v="0"/>
    <n v="4"/>
    <n v="0"/>
    <n v="0"/>
    <n v="0"/>
    <n v="1"/>
    <n v="0"/>
    <n v="0"/>
    <n v="19158"/>
    <s v="UNNAMED"/>
    <s v="STR-RECUR"/>
    <x v="0"/>
  </r>
  <r>
    <n v="2"/>
    <n v="29"/>
    <s v="UP-01"/>
    <s v="SWALE CREEK"/>
    <n v="425463"/>
    <n v="5823145"/>
    <x v="0"/>
    <d v="2016-07-19T00:00:00"/>
    <s v="Backpack Electrofishing"/>
    <n v="1.9"/>
    <n v="300"/>
    <n v="2621"/>
    <x v="0"/>
    <n v="0"/>
    <n v="0"/>
    <n v="4"/>
    <n v="0"/>
    <n v="0"/>
    <n v="0"/>
    <n v="1"/>
    <n v="0"/>
    <n v="0"/>
    <n v="0"/>
    <n v="0"/>
    <n v="0"/>
    <n v="0"/>
    <n v="1732"/>
    <s v="SWALE CREEK"/>
    <s v="STR-RECUR"/>
    <x v="0"/>
  </r>
  <r>
    <n v="3"/>
    <n v="11"/>
    <s v="MID-03"/>
    <s v="RAPID CREEK"/>
    <n v="435622"/>
    <n v="5824707"/>
    <x v="1"/>
    <d v="2016-07-19T00:00:00"/>
    <s v="Backpack Electrofishing"/>
    <n v="2.4"/>
    <n v="300"/>
    <n v="906"/>
    <x v="0"/>
    <n v="0"/>
    <n v="0"/>
    <n v="1"/>
    <n v="0"/>
    <n v="0"/>
    <n v="0"/>
    <n v="0"/>
    <n v="0"/>
    <n v="0"/>
    <n v="0"/>
    <n v="0"/>
    <n v="0"/>
    <n v="0"/>
    <n v="1421"/>
    <s v="RAPID CREEK"/>
    <s v="STR-INDEF"/>
    <x v="1"/>
  </r>
  <r>
    <n v="4"/>
    <n v="37"/>
    <s v="UP-06"/>
    <s v="COLT CREEK"/>
    <n v="433117"/>
    <n v="5827440"/>
    <x v="0"/>
    <d v="2016-08-03T00:00:00"/>
    <s v="Backpack Electrofishing"/>
    <n v="9.1166666670000005"/>
    <n v="300"/>
    <n v="1679"/>
    <x v="1"/>
    <n v="2.084574151280524"/>
    <n v="35"/>
    <n v="13"/>
    <n v="0"/>
    <n v="0"/>
    <n v="12"/>
    <n v="4"/>
    <n v="0"/>
    <n v="0"/>
    <n v="2"/>
    <n v="1"/>
    <n v="0"/>
    <n v="0"/>
    <n v="343"/>
    <s v="COLT CREEK"/>
    <s v="STR-PER"/>
    <x v="1"/>
  </r>
  <r>
    <n v="5"/>
    <n v="19"/>
    <s v="MID-14"/>
    <s v="RAPID CREEK"/>
    <n v="439596"/>
    <n v="5828095"/>
    <x v="1"/>
    <d v="2016-08-05T00:00:00"/>
    <s v="Backpack Electrofishing"/>
    <n v="4.9066666669999996"/>
    <n v="300"/>
    <n v="2650"/>
    <x v="2"/>
    <n v="2.6792452830188678"/>
    <n v="71"/>
    <n v="0"/>
    <n v="0"/>
    <n v="0"/>
    <n v="24"/>
    <n v="0"/>
    <n v="0"/>
    <n v="0"/>
    <n v="3"/>
    <n v="0"/>
    <n v="0"/>
    <n v="0"/>
    <n v="1421"/>
    <s v="RAPID CREEK"/>
    <s v="STR-RECUR"/>
    <x v="1"/>
  </r>
  <r>
    <n v="6"/>
    <n v="38"/>
    <s v="UP-07"/>
    <s v="NORDEGG RIVER"/>
    <n v="421215"/>
    <n v="5828636"/>
    <x v="0"/>
    <d v="2016-08-03T00:00:00"/>
    <s v="Backpack Electrofishing"/>
    <n v="5.6"/>
    <n v="300"/>
    <n v="1896"/>
    <x v="3"/>
    <n v="0.10548523206751054"/>
    <n v="2"/>
    <n v="12"/>
    <n v="0"/>
    <n v="0"/>
    <n v="1"/>
    <n v="4"/>
    <n v="0"/>
    <n v="0"/>
    <n v="0"/>
    <n v="1"/>
    <n v="0"/>
    <n v="0"/>
    <n v="2153"/>
    <s v="NORDEGG RIVER"/>
    <s v="STR-PER"/>
    <x v="1"/>
  </r>
  <r>
    <n v="7"/>
    <n v="36"/>
    <s v="UP-05"/>
    <s v="COLT CREEK"/>
    <n v="429013"/>
    <n v="5830927"/>
    <x v="0"/>
    <d v="2016-08-03T00:00:00"/>
    <s v="Backpack Electrofishing"/>
    <n v="11.43333333"/>
    <n v="300"/>
    <n v="1930"/>
    <x v="4"/>
    <n v="0.5181347150259068"/>
    <n v="10"/>
    <n v="0"/>
    <n v="0"/>
    <n v="0"/>
    <n v="3"/>
    <n v="0"/>
    <n v="0"/>
    <n v="0"/>
    <n v="1"/>
    <n v="0"/>
    <n v="0"/>
    <n v="0"/>
    <n v="343"/>
    <s v="COLT CREEK"/>
    <s v="STR-PER"/>
    <x v="2"/>
  </r>
  <r>
    <n v="8"/>
    <n v="14"/>
    <s v="MID-06"/>
    <s v="RAPID CREEK"/>
    <n v="440541"/>
    <n v="5831657"/>
    <x v="1"/>
    <d v="2016-07-19T00:00:00"/>
    <s v="Backpack Electrofishing"/>
    <n v="5.2"/>
    <n v="300"/>
    <n v="1702"/>
    <x v="5"/>
    <n v="3.1727379553466508"/>
    <n v="54"/>
    <n v="2"/>
    <n v="0"/>
    <n v="0"/>
    <n v="18"/>
    <n v="1"/>
    <n v="0"/>
    <n v="0"/>
    <n v="3"/>
    <n v="0"/>
    <n v="0"/>
    <n v="0"/>
    <n v="1421"/>
    <s v="RAPID CREEK"/>
    <s v="STR-RECUR"/>
    <x v="1"/>
  </r>
  <r>
    <n v="9"/>
    <n v="25"/>
    <s v="MID-27"/>
    <s v="STEVENS CREEK"/>
    <n v="437797"/>
    <n v="5831737"/>
    <x v="1"/>
    <d v="2016-07-20T00:00:00"/>
    <s v="Backpack Electrofishing"/>
    <n v="2.266666667"/>
    <n v="300"/>
    <n v="2355"/>
    <x v="3"/>
    <n v="8.4925690021231431E-2"/>
    <n v="2"/>
    <n v="0"/>
    <n v="0"/>
    <n v="0"/>
    <n v="1"/>
    <n v="0"/>
    <n v="0"/>
    <n v="0"/>
    <n v="0"/>
    <n v="0"/>
    <n v="0"/>
    <n v="0"/>
    <n v="1680"/>
    <s v="STEVENS CREEK"/>
    <s v="STR-INDEF"/>
    <x v="0"/>
  </r>
  <r>
    <n v="10"/>
    <n v="15"/>
    <s v="MID-08"/>
    <s v="UNNAMED"/>
    <n v="442717"/>
    <n v="5832334"/>
    <x v="1"/>
    <d v="2016-08-04T00:00:00"/>
    <s v="Backpack Electrofishing"/>
    <n v="1.963333333"/>
    <n v="300"/>
    <n v="1078"/>
    <x v="6"/>
    <n v="1.7625231910946195"/>
    <n v="19"/>
    <n v="0"/>
    <n v="0"/>
    <n v="0"/>
    <n v="6"/>
    <n v="0"/>
    <n v="0"/>
    <n v="0"/>
    <n v="2"/>
    <n v="0"/>
    <n v="0"/>
    <n v="0"/>
    <n v="19157"/>
    <s v="UNNAMED"/>
    <s v="STR-INDEF"/>
    <x v="0"/>
  </r>
  <r>
    <n v="11"/>
    <n v="31"/>
    <s v="UP-02"/>
    <s v="NORDEGG RIVER"/>
    <n v="427103"/>
    <n v="5832683"/>
    <x v="0"/>
    <d v="2016-08-03T00:00:00"/>
    <s v="Backpack Electrofishing"/>
    <n v="11.9"/>
    <n v="300"/>
    <n v="3032"/>
    <x v="7"/>
    <n v="0.82453825857519791"/>
    <n v="25"/>
    <n v="9"/>
    <n v="1"/>
    <n v="1"/>
    <n v="8"/>
    <n v="3"/>
    <n v="0"/>
    <n v="0"/>
    <n v="1"/>
    <n v="0"/>
    <n v="0"/>
    <n v="0"/>
    <n v="2153"/>
    <s v="NORDEGG RIVER"/>
    <s v="STR-PER"/>
    <x v="1"/>
  </r>
  <r>
    <n v="12"/>
    <n v="26"/>
    <s v="MID-30"/>
    <s v="GREY OWL CREEK"/>
    <n v="446520"/>
    <n v="5833322"/>
    <x v="1"/>
    <d v="2016-08-04T00:00:00"/>
    <s v="Backpack Electrofishing"/>
    <n v="1.8666666670000001"/>
    <n v="250"/>
    <n v="1335"/>
    <x v="8"/>
    <n v="1.7977528089887642"/>
    <n v="24"/>
    <n v="0"/>
    <n v="0"/>
    <n v="0"/>
    <n v="10"/>
    <n v="0"/>
    <n v="0"/>
    <n v="0"/>
    <n v="2"/>
    <n v="0"/>
    <n v="0"/>
    <n v="0"/>
    <n v="700"/>
    <s v="GREY OWL CREEK"/>
    <s v="STR-RECUR"/>
    <x v="0"/>
  </r>
  <r>
    <n v="13"/>
    <n v="23"/>
    <s v="MID-19"/>
    <s v="STEVENS CREEK"/>
    <n v="438148"/>
    <n v="5833586"/>
    <x v="1"/>
    <d v="2016-08-04T00:00:00"/>
    <s v="Backpack Electrofishing"/>
    <n v="2.6"/>
    <n v="300"/>
    <n v="2695"/>
    <x v="9"/>
    <n v="1.9666048237476808"/>
    <n v="53"/>
    <n v="0"/>
    <n v="0"/>
    <n v="0"/>
    <n v="18"/>
    <n v="0"/>
    <n v="0"/>
    <n v="0"/>
    <n v="2"/>
    <n v="0"/>
    <n v="0"/>
    <n v="0"/>
    <n v="1680"/>
    <s v="STEVENS CREEK"/>
    <s v="STR-INDEF"/>
    <x v="0"/>
  </r>
  <r>
    <n v="14"/>
    <n v="16"/>
    <s v="MID-09"/>
    <s v="UNNAMED"/>
    <n v="447725"/>
    <n v="5834827"/>
    <x v="1"/>
    <d v="2016-08-05T00:00:00"/>
    <s v="Backpack Electrofishing"/>
    <n v="1.3666666670000001"/>
    <n v="300"/>
    <n v="1779"/>
    <x v="10"/>
    <n v="3.0916245081506464"/>
    <n v="55"/>
    <n v="0"/>
    <n v="0"/>
    <n v="0"/>
    <n v="18"/>
    <n v="0"/>
    <n v="0"/>
    <n v="0"/>
    <n v="3"/>
    <n v="0"/>
    <n v="0"/>
    <n v="0"/>
    <n v="51637"/>
    <s v="UNNAMED"/>
    <s v="STR-RECUR"/>
    <x v="0"/>
  </r>
  <r>
    <n v="15"/>
    <n v="12"/>
    <s v="MID-04"/>
    <s v="RAPID CREEK"/>
    <n v="443456"/>
    <n v="5835081"/>
    <x v="1"/>
    <d v="2016-08-04T00:00:00"/>
    <s v="Backpack Electrofishing"/>
    <n v="6.1333333330000004"/>
    <n v="300"/>
    <n v="2612"/>
    <x v="11"/>
    <n v="3.9050535987748853"/>
    <n v="102"/>
    <n v="0"/>
    <n v="0"/>
    <n v="0"/>
    <n v="34"/>
    <n v="0"/>
    <n v="0"/>
    <n v="0"/>
    <n v="4"/>
    <n v="0"/>
    <n v="0"/>
    <n v="0"/>
    <n v="1421"/>
    <s v="RAPID CREEK"/>
    <s v="STR-RECUR"/>
    <x v="1"/>
  </r>
  <r>
    <n v="16"/>
    <n v="21"/>
    <s v="MID-16"/>
    <s v="UNNAMED"/>
    <n v="444372"/>
    <n v="5835094"/>
    <x v="1"/>
    <d v="2016-08-04T00:00:00"/>
    <s v="Backpack Electrofishing"/>
    <n v="2.4500000000000002"/>
    <n v="300"/>
    <n v="1095"/>
    <x v="12"/>
    <n v="0.27397260273972601"/>
    <n v="3"/>
    <n v="5"/>
    <n v="0"/>
    <n v="0"/>
    <n v="1"/>
    <n v="2"/>
    <n v="0"/>
    <n v="0"/>
    <n v="0"/>
    <n v="0"/>
    <n v="0"/>
    <n v="0"/>
    <n v="19157"/>
    <s v="UNNAMED"/>
    <s v="STR-INDEF"/>
    <x v="0"/>
  </r>
  <r>
    <n v="17"/>
    <n v="39"/>
    <s v="UP-08"/>
    <s v="UNNAMED"/>
    <n v="418240"/>
    <n v="5835703"/>
    <x v="0"/>
    <d v="2016-08-03T00:00:00"/>
    <s v="Backpack Electrofishing"/>
    <n v="4.0049999999999999"/>
    <n v="300"/>
    <n v="943"/>
    <x v="4"/>
    <n v="1.0604453870625663"/>
    <n v="10"/>
    <n v="3"/>
    <n v="0"/>
    <n v="0"/>
    <n v="3"/>
    <n v="1"/>
    <n v="0"/>
    <n v="0"/>
    <n v="1"/>
    <n v="0"/>
    <n v="0"/>
    <n v="0"/>
    <n v="19395"/>
    <s v="UNNAMED"/>
    <s v="STR-INDEF"/>
    <x v="0"/>
  </r>
  <r>
    <n v="18"/>
    <n v="22"/>
    <s v="MID-17"/>
    <s v="GREY OWL CREEK"/>
    <n v="448564"/>
    <n v="5836698"/>
    <x v="1"/>
    <d v="2016-08-05T00:00:00"/>
    <s v="Backpack Electrofishing"/>
    <n v="2.9666666670000001"/>
    <n v="300"/>
    <n v="3842"/>
    <x v="13"/>
    <n v="1.4575741801145237"/>
    <n v="56"/>
    <n v="0"/>
    <n v="0"/>
    <n v="0"/>
    <n v="19"/>
    <n v="0"/>
    <n v="0"/>
    <n v="0"/>
    <n v="1"/>
    <n v="0"/>
    <n v="0"/>
    <n v="0"/>
    <n v="700"/>
    <s v="GREY OWL CREEK"/>
    <s v="STR-RECUR"/>
    <x v="1"/>
  </r>
  <r>
    <n v="19"/>
    <n v="17"/>
    <s v="MID-11"/>
    <s v="STEVEN'S CREEK"/>
    <n v="440021"/>
    <n v="5836910"/>
    <x v="1"/>
    <d v="2016-08-10T00:00:00"/>
    <s v="Backpack Electrofishing"/>
    <n v="6.4666666670000001"/>
    <n v="300"/>
    <n v="3836"/>
    <x v="14"/>
    <n v="2.3722627737226274"/>
    <n v="91"/>
    <n v="0"/>
    <n v="0"/>
    <n v="0"/>
    <n v="30"/>
    <n v="0"/>
    <n v="0"/>
    <n v="0"/>
    <n v="2"/>
    <n v="0"/>
    <n v="0"/>
    <n v="0"/>
    <n v="1680"/>
    <s v="STEVENS CREEK"/>
    <s v="STR-RECUR"/>
    <x v="1"/>
  </r>
  <r>
    <n v="20"/>
    <n v="24"/>
    <s v="MID-20"/>
    <s v="UNNAMED"/>
    <n v="431199"/>
    <n v="5837146"/>
    <x v="1"/>
    <d v="2016-07-19T00:00:00"/>
    <s v="Backpack Electrofishing"/>
    <n v="3.6766666670000001"/>
    <n v="300"/>
    <n v="1180"/>
    <x v="15"/>
    <n v="8.4745762711864403E-2"/>
    <n v="1"/>
    <n v="0"/>
    <n v="0"/>
    <n v="0"/>
    <n v="0"/>
    <n v="0"/>
    <n v="0"/>
    <n v="0"/>
    <n v="0"/>
    <n v="0"/>
    <n v="0"/>
    <n v="0"/>
    <n v="19159"/>
    <s v="T1"/>
    <s v="STR-RECUR"/>
    <x v="0"/>
  </r>
  <r>
    <n v="21"/>
    <n v="13"/>
    <s v="MID-05"/>
    <s v="GREY OWL CREEK"/>
    <n v="447982"/>
    <n v="5837683"/>
    <x v="1"/>
    <d v="2016-08-10T00:00:00"/>
    <s v="Backpack Electrofishing"/>
    <n v="5.2"/>
    <n v="300"/>
    <n v="2396"/>
    <x v="16"/>
    <n v="0.87646076794657757"/>
    <n v="21"/>
    <n v="0"/>
    <n v="0"/>
    <n v="0"/>
    <n v="7"/>
    <n v="0"/>
    <n v="0"/>
    <n v="0"/>
    <n v="1"/>
    <n v="0"/>
    <n v="0"/>
    <n v="0"/>
    <n v="700"/>
    <s v="GREY OWL CREEK"/>
    <s v="STR-RECUR"/>
    <x v="1"/>
  </r>
  <r>
    <n v="22"/>
    <n v="33"/>
    <s v="UP-03"/>
    <s v="WAWA CREEK"/>
    <n v="428214"/>
    <n v="5838774"/>
    <x v="0"/>
    <d v="2016-08-04T00:00:00"/>
    <s v="Backpack Electrofishing"/>
    <n v="9.6999999999999993"/>
    <n v="300"/>
    <n v="1351"/>
    <x v="15"/>
    <n v="7.4019245003700954E-2"/>
    <n v="1"/>
    <n v="0"/>
    <n v="2"/>
    <n v="0"/>
    <n v="0"/>
    <n v="0"/>
    <n v="1"/>
    <n v="0"/>
    <n v="0"/>
    <n v="0"/>
    <n v="0"/>
    <n v="0"/>
    <n v="1873"/>
    <s v="WAWA CREEK"/>
    <s v="STR-INDEF"/>
    <x v="1"/>
  </r>
  <r>
    <n v="23"/>
    <n v="10"/>
    <s v="MID-01"/>
    <s v="RAPID CREEK"/>
    <n v="444762"/>
    <n v="5839381"/>
    <x v="1"/>
    <d v="2016-08-05T00:00:00"/>
    <s v="Backpack Electrofishing"/>
    <n v="6.8666666669999996"/>
    <n v="300"/>
    <n v="4269"/>
    <x v="17"/>
    <n v="0.60904193019442487"/>
    <n v="26"/>
    <n v="1"/>
    <n v="0"/>
    <n v="0"/>
    <n v="9"/>
    <n v="0"/>
    <n v="0"/>
    <n v="0"/>
    <n v="1"/>
    <n v="0"/>
    <n v="0"/>
    <n v="0"/>
    <n v="1421"/>
    <s v="RAPID CREEK"/>
    <s v="STR-RECUR"/>
    <x v="1"/>
  </r>
  <r>
    <n v="24"/>
    <n v="20"/>
    <s v="MID-15"/>
    <s v="UNNAMED"/>
    <n v="436344"/>
    <n v="5839790"/>
    <x v="1"/>
    <d v="2016-08-04T00:00:00"/>
    <s v="Backpack Electrofishing"/>
    <n v="2.1333333329999999"/>
    <n v="300"/>
    <n v="1955"/>
    <x v="18"/>
    <n v="0.81841432225063926"/>
    <n v="16"/>
    <n v="0"/>
    <n v="0"/>
    <n v="0"/>
    <n v="5"/>
    <n v="0"/>
    <n v="0"/>
    <n v="0"/>
    <n v="1"/>
    <n v="0"/>
    <n v="0"/>
    <n v="0"/>
    <n v="51195"/>
    <s v="UNNAMED"/>
    <s v="STR-INDEF"/>
    <x v="0"/>
  </r>
  <r>
    <n v="25"/>
    <n v="30"/>
    <s v="UP-01-FLOAT"/>
    <s v="NORDEGG RIVER"/>
    <n v="445105"/>
    <n v="5840987"/>
    <x v="1"/>
    <d v="2016-06-01T00:00:00"/>
    <s v="Float Electrofishing"/>
    <n v="22.333333329999999"/>
    <n v="2000"/>
    <n v="2255"/>
    <x v="19"/>
    <n v="8.8691796008869173E-2"/>
    <n v="2"/>
    <n v="4"/>
    <n v="0"/>
    <n v="11"/>
    <n v="0"/>
    <n v="0"/>
    <n v="0"/>
    <n v="1"/>
    <n v="0"/>
    <n v="0"/>
    <n v="0"/>
    <n v="0"/>
    <n v="2153"/>
    <s v="NORDEGG RIVER"/>
    <s v="RIV-MAJ-REP-PRI"/>
    <x v="2"/>
  </r>
  <r>
    <n v="26"/>
    <n v="32"/>
    <s v="UP-02-FLOAT"/>
    <s v="NORDEGG RIVER"/>
    <n v="445788"/>
    <n v="5841157"/>
    <x v="1"/>
    <d v="2016-06-01T00:00:00"/>
    <s v="Float Electrofishing"/>
    <n v="29.333333329999999"/>
    <n v="2000"/>
    <n v="2592"/>
    <x v="20"/>
    <n v="0.61728395061728392"/>
    <n v="16"/>
    <n v="7"/>
    <n v="0"/>
    <n v="7"/>
    <n v="1"/>
    <n v="0"/>
    <n v="0"/>
    <n v="0"/>
    <n v="1"/>
    <n v="0"/>
    <n v="0"/>
    <n v="0"/>
    <n v="2153"/>
    <s v="NORDEGG RIVER"/>
    <s v="RIV-MAJ-REP-PRI"/>
    <x v="2"/>
  </r>
  <r>
    <n v="27"/>
    <n v="28"/>
    <s v="MID-38"/>
    <s v="SYLVESTER CREEK"/>
    <n v="459572"/>
    <n v="5841626"/>
    <x v="1"/>
    <d v="2016-08-11T00:00:00"/>
    <s v="Backpack Electrofishing"/>
    <n v="2.0666666669999998"/>
    <n v="150"/>
    <n v="1825"/>
    <x v="0"/>
    <n v="0"/>
    <n v="0"/>
    <n v="0"/>
    <n v="0"/>
    <n v="0"/>
    <n v="0"/>
    <n v="0"/>
    <n v="0"/>
    <n v="0"/>
    <n v="0"/>
    <n v="0"/>
    <n v="0"/>
    <n v="0"/>
    <n v="1743"/>
    <s v="SYLVESTER CREEK"/>
    <s v="STR-RECUR"/>
    <x v="3"/>
  </r>
  <r>
    <n v="28"/>
    <n v="4"/>
    <s v="LOW-08"/>
    <s v="UNNAMED"/>
    <n v="466213"/>
    <n v="5841693"/>
    <x v="2"/>
    <d v="2016-07-14T00:00:00"/>
    <s v="Backpack Electrofishing"/>
    <n v="1.6333333329999999"/>
    <n v="300"/>
    <n v="1574"/>
    <x v="0"/>
    <n v="0"/>
    <n v="0"/>
    <n v="0"/>
    <n v="0"/>
    <n v="0"/>
    <n v="0"/>
    <n v="0"/>
    <n v="0"/>
    <n v="0"/>
    <n v="0"/>
    <n v="0"/>
    <n v="0"/>
    <n v="0"/>
    <n v="50876"/>
    <s v="UNNAMED"/>
    <s v="STR-INDEF"/>
    <x v="0"/>
  </r>
  <r>
    <n v="29"/>
    <n v="18"/>
    <s v="MID-13"/>
    <s v="UNNAMED"/>
    <n v="455723"/>
    <n v="5842187"/>
    <x v="1"/>
    <d v="2016-08-16T00:00:00"/>
    <s v="Backpack Electrofishing"/>
    <n v="6.3133333330000001"/>
    <n v="300"/>
    <n v="2119"/>
    <x v="3"/>
    <n v="9.4384143463898063E-2"/>
    <n v="2"/>
    <n v="0"/>
    <n v="0"/>
    <n v="0"/>
    <n v="1"/>
    <n v="0"/>
    <n v="0"/>
    <n v="0"/>
    <n v="0"/>
    <n v="0"/>
    <n v="0"/>
    <n v="0"/>
    <n v="20388"/>
    <s v="UNNAMED"/>
    <s v="STR-RECUR"/>
    <x v="0"/>
  </r>
  <r>
    <n v="30"/>
    <n v="34"/>
    <s v="UP-03-FLOAT"/>
    <s v="NORDEGG RIVER"/>
    <n v="447220"/>
    <n v="5842215"/>
    <x v="1"/>
    <d v="2016-06-02T00:00:00"/>
    <s v="Float Electrofishing"/>
    <n v="31.666666670000001"/>
    <n v="2000"/>
    <n v="2150"/>
    <x v="19"/>
    <n v="9.3023255813953487E-2"/>
    <n v="2"/>
    <n v="3"/>
    <n v="0"/>
    <n v="10"/>
    <n v="0"/>
    <n v="0"/>
    <n v="0"/>
    <n v="0"/>
    <n v="0"/>
    <n v="0"/>
    <n v="0"/>
    <n v="0"/>
    <n v="2153"/>
    <s v="NORDEGG RIVER"/>
    <s v="RIV-MAJ-REP-PRI"/>
    <x v="2"/>
  </r>
  <r>
    <n v="31"/>
    <n v="2"/>
    <s v="LOW-05"/>
    <s v="UNNAMED"/>
    <n v="465733"/>
    <n v="5844708"/>
    <x v="2"/>
    <d v="2016-07-13T00:00:00"/>
    <s v="Backpack Electrofishing"/>
    <n v="3.5"/>
    <n v="300"/>
    <n v="3057"/>
    <x v="0"/>
    <n v="0"/>
    <n v="0"/>
    <n v="0"/>
    <n v="0"/>
    <n v="0"/>
    <n v="0"/>
    <n v="0"/>
    <n v="0"/>
    <n v="0"/>
    <n v="0"/>
    <n v="0"/>
    <n v="0"/>
    <n v="0"/>
    <n v="50762"/>
    <s v="UNNAMED"/>
    <s v="STR-INDEF"/>
    <x v="0"/>
  </r>
  <r>
    <n v="32"/>
    <n v="27"/>
    <s v="MID-37"/>
    <s v="SYLVESTER CREEK"/>
    <n v="456046"/>
    <n v="5845360"/>
    <x v="1"/>
    <d v="2016-08-11T00:00:00"/>
    <s v="Backpack Electrofishing"/>
    <n v="8.7333333329999991"/>
    <n v="300"/>
    <n v="3529"/>
    <x v="21"/>
    <n v="0.22669311419665628"/>
    <n v="8"/>
    <n v="0"/>
    <n v="0"/>
    <n v="0"/>
    <n v="3"/>
    <n v="0"/>
    <n v="0"/>
    <n v="0"/>
    <n v="0"/>
    <n v="0"/>
    <n v="0"/>
    <n v="0"/>
    <n v="1743"/>
    <s v="SYLVESTER CREEK"/>
    <s v="STR-RECUR"/>
    <x v="0"/>
  </r>
  <r>
    <n v="33"/>
    <n v="6"/>
    <s v="LOW-15"/>
    <s v="UNNAMED"/>
    <n v="470245"/>
    <n v="5848154"/>
    <x v="2"/>
    <d v="2016-07-13T00:00:00"/>
    <s v="Backpack Electrofishing"/>
    <n v="2.2000000000000002"/>
    <n v="200"/>
    <n v="2766"/>
    <x v="0"/>
    <n v="0"/>
    <n v="0"/>
    <n v="0"/>
    <n v="0"/>
    <n v="0"/>
    <n v="0"/>
    <n v="0"/>
    <n v="0"/>
    <n v="0"/>
    <n v="0"/>
    <n v="0"/>
    <n v="0"/>
    <n v="0"/>
    <n v="50767"/>
    <s v="UNNAMED"/>
    <s v="STR-INDEF"/>
    <x v="0"/>
  </r>
  <r>
    <n v="34"/>
    <n v="3"/>
    <s v="LOW-06"/>
    <s v="UNNAMED"/>
    <n v="466859"/>
    <n v="5848869"/>
    <x v="2"/>
    <d v="2016-08-17T00:00:00"/>
    <s v="Backpack Electrofishing"/>
    <n v="3.766666667"/>
    <n v="300"/>
    <n v="4320"/>
    <x v="22"/>
    <n v="0.55555555555555558"/>
    <n v="24"/>
    <n v="0"/>
    <n v="0"/>
    <n v="0"/>
    <n v="8"/>
    <n v="0"/>
    <n v="0"/>
    <n v="0"/>
    <n v="1"/>
    <n v="0"/>
    <n v="0"/>
    <n v="0"/>
    <n v="50762"/>
    <s v="UNNAMED"/>
    <s v="STR-RECUR"/>
    <x v="0"/>
  </r>
  <r>
    <n v="35"/>
    <n v="1"/>
    <s v="LOW-04"/>
    <s v="UNNAMED"/>
    <n v="469582"/>
    <n v="5849740"/>
    <x v="2"/>
    <d v="2016-07-12T00:00:00"/>
    <s v="Backpack Electrofishing"/>
    <n v="3"/>
    <n v="300"/>
    <n v="4153"/>
    <x v="0"/>
    <n v="0"/>
    <n v="0"/>
    <n v="0"/>
    <n v="0"/>
    <n v="0"/>
    <n v="0"/>
    <n v="0"/>
    <n v="0"/>
    <n v="0"/>
    <n v="0"/>
    <n v="0"/>
    <n v="0"/>
    <n v="0"/>
    <n v="50767"/>
    <s v="UNNAMED"/>
    <s v="STR-INDEF"/>
    <x v="0"/>
  </r>
  <r>
    <n v="36"/>
    <n v="5"/>
    <s v="LOW-14"/>
    <s v="UNNAMED"/>
    <n v="473759"/>
    <n v="5850044"/>
    <x v="2"/>
    <d v="2016-07-11T00:00:00"/>
    <s v="Backpack Electrofishing"/>
    <n v="4.6333333330000004"/>
    <n v="100"/>
    <n v="844"/>
    <x v="0"/>
    <n v="0"/>
    <n v="0"/>
    <n v="0"/>
    <n v="0"/>
    <n v="0"/>
    <n v="0"/>
    <n v="0"/>
    <n v="0"/>
    <n v="0"/>
    <n v="0"/>
    <n v="0"/>
    <n v="0"/>
    <n v="0"/>
    <n v="50622"/>
    <s v="UNNAMED"/>
    <s v="STR-RECUR"/>
    <x v="0"/>
  </r>
  <r>
    <n v="37"/>
    <n v="9"/>
    <s v="LOW-25"/>
    <s v="UNNAMED"/>
    <n v="466081"/>
    <n v="5852037"/>
    <x v="2"/>
    <d v="2016-09-01T00:00:00"/>
    <s v="Backpack Electrofishing"/>
    <n v="3.733333333"/>
    <n v="300"/>
    <n v="2620"/>
    <x v="3"/>
    <n v="7.6335877862595422E-2"/>
    <n v="2"/>
    <n v="0"/>
    <n v="0"/>
    <n v="0"/>
    <n v="1"/>
    <n v="0"/>
    <n v="0"/>
    <n v="0"/>
    <n v="0"/>
    <n v="0"/>
    <n v="0"/>
    <n v="0"/>
    <n v="22558"/>
    <s v="UNNAMED"/>
    <s v="STR-INDEF"/>
    <x v="3"/>
  </r>
  <r>
    <n v="38"/>
    <n v="8"/>
    <s v="LOW-20"/>
    <s v="UNNAMED"/>
    <n v="481457"/>
    <n v="5852222"/>
    <x v="2"/>
    <d v="2016-08-16T00:00:00"/>
    <s v="Backpack Electrofishing"/>
    <n v="3.9666666670000001"/>
    <n v="300"/>
    <n v="5522"/>
    <x v="0"/>
    <n v="0"/>
    <n v="0"/>
    <n v="0"/>
    <n v="0"/>
    <n v="0"/>
    <n v="0"/>
    <n v="0"/>
    <n v="0"/>
    <n v="0"/>
    <n v="0"/>
    <n v="0"/>
    <n v="0"/>
    <n v="0"/>
    <n v="22914"/>
    <s v="UNNAMED"/>
    <s v="STR-RECUR"/>
    <x v="0"/>
  </r>
  <r>
    <n v="39"/>
    <n v="7"/>
    <s v="LOW-16"/>
    <s v="UNNAMED"/>
    <n v="479595"/>
    <n v="5853946"/>
    <x v="2"/>
    <d v="2016-07-11T00:00:00"/>
    <s v="Backpack Electrofishing"/>
    <n v="6.3"/>
    <n v="300"/>
    <n v="3151"/>
    <x v="0"/>
    <n v="0"/>
    <n v="0"/>
    <n v="0"/>
    <n v="0"/>
    <n v="0"/>
    <n v="0"/>
    <n v="0"/>
    <n v="0"/>
    <n v="0"/>
    <n v="0"/>
    <n v="0"/>
    <n v="0"/>
    <n v="0"/>
    <n v="22914"/>
    <s v="UNNAMED"/>
    <s v="STR-RECUR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6:F18" firstHeaderRow="1" firstDataRow="2" firstDataCol="1"/>
  <pivotFields count="30"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1"/>
        <item x="2"/>
        <item t="default"/>
      </items>
    </pivotField>
  </pivotFields>
  <rowItems count="1">
    <i/>
  </rowItems>
  <colFields count="1">
    <field x="29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TR_ORDER" fld="29" subtotal="count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21:F23" firstHeaderRow="1" firstDataRow="2" firstDataCol="1"/>
  <pivotFields count="30"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1"/>
        <item x="2"/>
        <item t="default"/>
      </items>
    </pivotField>
  </pivotFields>
  <rowItems count="1">
    <i/>
  </rowItems>
  <colFields count="1">
    <field x="29"/>
  </colFields>
  <colItems count="5">
    <i>
      <x/>
    </i>
    <i>
      <x v="1"/>
    </i>
    <i>
      <x v="2"/>
    </i>
    <i>
      <x v="3"/>
    </i>
    <i t="grand">
      <x/>
    </i>
  </colItems>
  <dataFields count="1">
    <dataField name="StdDev of BKTR_100m (recomputed)" fld="12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1:E13" firstHeaderRow="1" firstDataRow="2" firstDataCol="1"/>
  <pivotFields count="30">
    <pivotField showAll="0"/>
    <pivotField showAll="0"/>
    <pivotField showAll="0"/>
    <pivotField showAll="0"/>
    <pivotField showAll="0"/>
    <pivotField showAll="0"/>
    <pivotField axis="axisCol" showAll="0">
      <items count="4">
        <item x="2"/>
        <item x="1"/>
        <item x="0"/>
        <item t="default"/>
      </items>
    </pivotField>
    <pivotField numFmtId="14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tdDev of BKTR_100m (recomputed)" fld="12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6:E8" firstHeaderRow="1" firstDataRow="2" firstDataCol="1"/>
  <pivotFields count="30">
    <pivotField showAll="0"/>
    <pivotField showAll="0"/>
    <pivotField showAll="0"/>
    <pivotField showAll="0"/>
    <pivotField showAll="0"/>
    <pivotField showAll="0"/>
    <pivotField axis="axisCol" showAll="0">
      <items count="4">
        <item x="2"/>
        <item x="1"/>
        <item x="0"/>
        <item t="default"/>
      </items>
    </pivotField>
    <pivotField numFmtId="14" showAll="0"/>
    <pivotField showAll="0"/>
    <pivotField showAll="0"/>
    <pivotField showAll="0"/>
    <pivotField showAll="0"/>
    <pivotField dataField="1" showAll="0" defaultSubtotal="0">
      <items count="23">
        <item x="0"/>
        <item x="19"/>
        <item x="15"/>
        <item x="3"/>
        <item x="20"/>
        <item x="12"/>
        <item x="21"/>
        <item x="4"/>
        <item x="18"/>
        <item x="6"/>
        <item x="16"/>
        <item x="22"/>
        <item x="7"/>
        <item x="17"/>
        <item x="8"/>
        <item x="1"/>
        <item x="9"/>
        <item x="5"/>
        <item x="10"/>
        <item x="13"/>
        <item x="2"/>
        <item x="14"/>
        <item x="11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 of BKTR_100m (recomputed)" fld="12" subtotal="count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topLeftCell="I4" workbookViewId="0">
      <selection activeCell="M3" sqref="M3:N41"/>
    </sheetView>
  </sheetViews>
  <sheetFormatPr baseColWidth="10" defaultColWidth="8.83203125" defaultRowHeight="14" x14ac:dyDescent="0"/>
  <cols>
    <col min="4" max="4" width="24.5" customWidth="1"/>
    <col min="5" max="7" width="9.1640625" customWidth="1"/>
    <col min="8" max="8" width="14.5" customWidth="1"/>
    <col min="9" max="9" width="13.83203125" customWidth="1"/>
    <col min="10" max="10" width="12.5" customWidth="1"/>
    <col min="11" max="12" width="9.1640625" customWidth="1"/>
    <col min="13" max="14" width="9.1640625" style="7" customWidth="1"/>
    <col min="15" max="27" width="9.1640625" customWidth="1"/>
    <col min="28" max="28" width="20.83203125" customWidth="1"/>
    <col min="29" max="29" width="15.83203125" customWidth="1"/>
  </cols>
  <sheetData>
    <row r="1" spans="1:30">
      <c r="O1" s="22" t="s">
        <v>91</v>
      </c>
      <c r="P1" s="22"/>
      <c r="Q1" s="22"/>
      <c r="R1" s="22"/>
      <c r="S1" s="22" t="s">
        <v>92</v>
      </c>
      <c r="T1" s="22"/>
      <c r="U1" s="22"/>
      <c r="V1" s="22"/>
      <c r="W1" s="22" t="s">
        <v>93</v>
      </c>
      <c r="X1" s="22"/>
      <c r="Y1" s="22"/>
      <c r="Z1" s="22"/>
    </row>
    <row r="2" spans="1:30" s="5" customFormat="1" ht="56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8" t="s">
        <v>115</v>
      </c>
      <c r="N2" s="8" t="s">
        <v>116</v>
      </c>
      <c r="O2" s="4" t="s">
        <v>12</v>
      </c>
      <c r="P2" s="4" t="s">
        <v>13</v>
      </c>
      <c r="Q2" s="4" t="s">
        <v>14</v>
      </c>
      <c r="R2" s="4" t="s">
        <v>15</v>
      </c>
      <c r="S2" s="4" t="s">
        <v>16</v>
      </c>
      <c r="T2" s="4" t="s">
        <v>17</v>
      </c>
      <c r="U2" s="4" t="s">
        <v>18</v>
      </c>
      <c r="V2" s="4" t="s">
        <v>19</v>
      </c>
      <c r="W2" s="4" t="s">
        <v>20</v>
      </c>
      <c r="X2" s="4" t="s">
        <v>21</v>
      </c>
      <c r="Y2" s="4" t="s">
        <v>22</v>
      </c>
      <c r="Z2" s="4" t="s">
        <v>23</v>
      </c>
      <c r="AA2" s="4" t="s">
        <v>24</v>
      </c>
      <c r="AB2" s="4" t="s">
        <v>25</v>
      </c>
      <c r="AC2" s="4" t="s">
        <v>26</v>
      </c>
      <c r="AD2" s="4" t="s">
        <v>27</v>
      </c>
    </row>
    <row r="3" spans="1:30">
      <c r="A3" s="2">
        <v>1</v>
      </c>
      <c r="B3" s="2">
        <v>35</v>
      </c>
      <c r="C3" s="1" t="s">
        <v>28</v>
      </c>
      <c r="D3" s="1" t="s">
        <v>29</v>
      </c>
      <c r="E3" s="2">
        <v>426414</v>
      </c>
      <c r="F3" s="2">
        <v>5821654</v>
      </c>
      <c r="G3" s="1" t="s">
        <v>30</v>
      </c>
      <c r="H3" s="3">
        <v>42585</v>
      </c>
      <c r="I3" s="1" t="s">
        <v>31</v>
      </c>
      <c r="J3" s="2">
        <v>2.0333333329999999</v>
      </c>
      <c r="K3" s="2">
        <v>300</v>
      </c>
      <c r="L3" s="2">
        <v>1350</v>
      </c>
      <c r="M3" s="9">
        <f>O3/K3*100</f>
        <v>0</v>
      </c>
      <c r="N3" s="9">
        <f>O3/L3*100</f>
        <v>0</v>
      </c>
      <c r="O3" s="2">
        <v>0</v>
      </c>
      <c r="P3" s="2">
        <v>13</v>
      </c>
      <c r="Q3" s="2">
        <v>0</v>
      </c>
      <c r="R3" s="2">
        <v>0</v>
      </c>
      <c r="S3" s="2">
        <v>0</v>
      </c>
      <c r="T3" s="2">
        <v>4</v>
      </c>
      <c r="U3" s="2">
        <v>0</v>
      </c>
      <c r="V3" s="2">
        <v>0</v>
      </c>
      <c r="W3" s="2">
        <v>0</v>
      </c>
      <c r="X3" s="2">
        <v>1</v>
      </c>
      <c r="Y3" s="2">
        <v>0</v>
      </c>
      <c r="Z3" s="2">
        <v>0</v>
      </c>
      <c r="AA3" s="2">
        <v>19158</v>
      </c>
      <c r="AB3" s="1" t="s">
        <v>29</v>
      </c>
      <c r="AC3" s="1" t="s">
        <v>32</v>
      </c>
      <c r="AD3" s="1" t="s">
        <v>33</v>
      </c>
    </row>
    <row r="4" spans="1:30">
      <c r="A4" s="2">
        <v>2</v>
      </c>
      <c r="B4" s="2">
        <v>29</v>
      </c>
      <c r="C4" s="1" t="s">
        <v>34</v>
      </c>
      <c r="D4" s="1" t="s">
        <v>35</v>
      </c>
      <c r="E4" s="2">
        <v>425463</v>
      </c>
      <c r="F4" s="2">
        <v>5823145</v>
      </c>
      <c r="G4" s="1" t="s">
        <v>30</v>
      </c>
      <c r="H4" s="3">
        <v>42570</v>
      </c>
      <c r="I4" s="1" t="s">
        <v>31</v>
      </c>
      <c r="J4" s="2">
        <v>1.9</v>
      </c>
      <c r="K4" s="2">
        <v>300</v>
      </c>
      <c r="L4" s="2">
        <v>2621</v>
      </c>
      <c r="M4" s="9">
        <f t="shared" ref="M4:M41" si="0">O4/K4*100</f>
        <v>0</v>
      </c>
      <c r="N4" s="9">
        <f t="shared" ref="N4:N41" si="1">O4/L4*100</f>
        <v>0</v>
      </c>
      <c r="O4" s="2">
        <v>0</v>
      </c>
      <c r="P4" s="2">
        <v>4</v>
      </c>
      <c r="Q4" s="2">
        <v>0</v>
      </c>
      <c r="R4" s="2">
        <v>0</v>
      </c>
      <c r="S4" s="2">
        <v>0</v>
      </c>
      <c r="T4" s="2">
        <v>1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1732</v>
      </c>
      <c r="AB4" s="1" t="s">
        <v>35</v>
      </c>
      <c r="AC4" s="1" t="s">
        <v>32</v>
      </c>
      <c r="AD4" s="1" t="s">
        <v>33</v>
      </c>
    </row>
    <row r="5" spans="1:30">
      <c r="A5" s="2">
        <v>3</v>
      </c>
      <c r="B5" s="2">
        <v>11</v>
      </c>
      <c r="C5" s="1" t="s">
        <v>36</v>
      </c>
      <c r="D5" s="1" t="s">
        <v>37</v>
      </c>
      <c r="E5" s="2">
        <v>435622</v>
      </c>
      <c r="F5" s="2">
        <v>5824707</v>
      </c>
      <c r="G5" s="1" t="s">
        <v>38</v>
      </c>
      <c r="H5" s="3">
        <v>42570</v>
      </c>
      <c r="I5" s="1" t="s">
        <v>31</v>
      </c>
      <c r="J5" s="2">
        <v>2.4</v>
      </c>
      <c r="K5" s="2">
        <v>300</v>
      </c>
      <c r="L5" s="2">
        <v>906</v>
      </c>
      <c r="M5" s="9">
        <f t="shared" si="0"/>
        <v>0</v>
      </c>
      <c r="N5" s="9">
        <f t="shared" si="1"/>
        <v>0</v>
      </c>
      <c r="O5" s="2">
        <v>0</v>
      </c>
      <c r="P5" s="2">
        <v>1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1421</v>
      </c>
      <c r="AB5" s="1" t="s">
        <v>37</v>
      </c>
      <c r="AC5" s="1" t="s">
        <v>39</v>
      </c>
      <c r="AD5" s="1" t="s">
        <v>40</v>
      </c>
    </row>
    <row r="6" spans="1:30">
      <c r="A6" s="2">
        <v>4</v>
      </c>
      <c r="B6" s="2">
        <v>37</v>
      </c>
      <c r="C6" s="1" t="s">
        <v>41</v>
      </c>
      <c r="D6" s="1" t="s">
        <v>42</v>
      </c>
      <c r="E6" s="2">
        <v>433117</v>
      </c>
      <c r="F6" s="2">
        <v>5827440</v>
      </c>
      <c r="G6" s="1" t="s">
        <v>30</v>
      </c>
      <c r="H6" s="3">
        <v>42585</v>
      </c>
      <c r="I6" s="1" t="s">
        <v>31</v>
      </c>
      <c r="J6" s="2">
        <v>9.1166666670000005</v>
      </c>
      <c r="K6" s="2">
        <v>300</v>
      </c>
      <c r="L6" s="2">
        <v>1679</v>
      </c>
      <c r="M6" s="9">
        <f t="shared" si="0"/>
        <v>11.666666666666666</v>
      </c>
      <c r="N6" s="9">
        <f t="shared" si="1"/>
        <v>2.084574151280524</v>
      </c>
      <c r="O6" s="2">
        <v>35</v>
      </c>
      <c r="P6" s="2">
        <v>13</v>
      </c>
      <c r="Q6" s="2">
        <v>0</v>
      </c>
      <c r="R6" s="2">
        <v>0</v>
      </c>
      <c r="S6" s="2">
        <v>12</v>
      </c>
      <c r="T6" s="2">
        <v>4</v>
      </c>
      <c r="U6" s="2">
        <v>0</v>
      </c>
      <c r="V6" s="2">
        <v>0</v>
      </c>
      <c r="W6" s="2">
        <v>2</v>
      </c>
      <c r="X6" s="2">
        <v>1</v>
      </c>
      <c r="Y6" s="2">
        <v>0</v>
      </c>
      <c r="Z6" s="2">
        <v>0</v>
      </c>
      <c r="AA6" s="2">
        <v>343</v>
      </c>
      <c r="AB6" s="1" t="s">
        <v>42</v>
      </c>
      <c r="AC6" s="1" t="s">
        <v>43</v>
      </c>
      <c r="AD6" s="1" t="s">
        <v>40</v>
      </c>
    </row>
    <row r="7" spans="1:30">
      <c r="A7" s="2">
        <v>5</v>
      </c>
      <c r="B7" s="2">
        <v>19</v>
      </c>
      <c r="C7" s="1" t="s">
        <v>44</v>
      </c>
      <c r="D7" s="1" t="s">
        <v>37</v>
      </c>
      <c r="E7" s="2">
        <v>439596</v>
      </c>
      <c r="F7" s="2">
        <v>5828095</v>
      </c>
      <c r="G7" s="1" t="s">
        <v>38</v>
      </c>
      <c r="H7" s="3">
        <v>42587</v>
      </c>
      <c r="I7" s="1" t="s">
        <v>31</v>
      </c>
      <c r="J7" s="2">
        <v>4.9066666669999996</v>
      </c>
      <c r="K7" s="2">
        <v>300</v>
      </c>
      <c r="L7" s="2">
        <v>2650</v>
      </c>
      <c r="M7" s="9">
        <f t="shared" si="0"/>
        <v>23.666666666666668</v>
      </c>
      <c r="N7" s="9">
        <f t="shared" si="1"/>
        <v>2.6792452830188678</v>
      </c>
      <c r="O7" s="2">
        <v>71</v>
      </c>
      <c r="P7" s="2">
        <v>0</v>
      </c>
      <c r="Q7" s="2">
        <v>0</v>
      </c>
      <c r="R7" s="2">
        <v>0</v>
      </c>
      <c r="S7" s="2">
        <v>24</v>
      </c>
      <c r="T7" s="2">
        <v>0</v>
      </c>
      <c r="U7" s="2">
        <v>0</v>
      </c>
      <c r="V7" s="2">
        <v>0</v>
      </c>
      <c r="W7" s="2">
        <v>3</v>
      </c>
      <c r="X7" s="2">
        <v>0</v>
      </c>
      <c r="Y7" s="2">
        <v>0</v>
      </c>
      <c r="Z7" s="2">
        <v>0</v>
      </c>
      <c r="AA7" s="2">
        <v>1421</v>
      </c>
      <c r="AB7" s="1" t="s">
        <v>37</v>
      </c>
      <c r="AC7" s="1" t="s">
        <v>32</v>
      </c>
      <c r="AD7" s="1" t="s">
        <v>40</v>
      </c>
    </row>
    <row r="8" spans="1:30">
      <c r="A8" s="2">
        <v>6</v>
      </c>
      <c r="B8" s="2">
        <v>38</v>
      </c>
      <c r="C8" s="1" t="s">
        <v>45</v>
      </c>
      <c r="D8" s="1" t="s">
        <v>46</v>
      </c>
      <c r="E8" s="2">
        <v>421215</v>
      </c>
      <c r="F8" s="2">
        <v>5828636</v>
      </c>
      <c r="G8" s="1" t="s">
        <v>30</v>
      </c>
      <c r="H8" s="3">
        <v>42585</v>
      </c>
      <c r="I8" s="1" t="s">
        <v>31</v>
      </c>
      <c r="J8" s="2">
        <v>5.6</v>
      </c>
      <c r="K8" s="2">
        <v>300</v>
      </c>
      <c r="L8" s="2">
        <v>1896</v>
      </c>
      <c r="M8" s="9">
        <f t="shared" si="0"/>
        <v>0.66666666666666674</v>
      </c>
      <c r="N8" s="9">
        <f t="shared" si="1"/>
        <v>0.10548523206751054</v>
      </c>
      <c r="O8" s="2">
        <v>2</v>
      </c>
      <c r="P8" s="2">
        <v>12</v>
      </c>
      <c r="Q8" s="2">
        <v>0</v>
      </c>
      <c r="R8" s="2">
        <v>0</v>
      </c>
      <c r="S8" s="2">
        <v>1</v>
      </c>
      <c r="T8" s="2">
        <v>4</v>
      </c>
      <c r="U8" s="2">
        <v>0</v>
      </c>
      <c r="V8" s="2">
        <v>0</v>
      </c>
      <c r="W8" s="2">
        <v>0</v>
      </c>
      <c r="X8" s="2">
        <v>1</v>
      </c>
      <c r="Y8" s="2">
        <v>0</v>
      </c>
      <c r="Z8" s="2">
        <v>0</v>
      </c>
      <c r="AA8" s="2">
        <v>2153</v>
      </c>
      <c r="AB8" s="1" t="s">
        <v>46</v>
      </c>
      <c r="AC8" s="1" t="s">
        <v>43</v>
      </c>
      <c r="AD8" s="1" t="s">
        <v>40</v>
      </c>
    </row>
    <row r="9" spans="1:30">
      <c r="A9" s="2">
        <v>7</v>
      </c>
      <c r="B9" s="2">
        <v>36</v>
      </c>
      <c r="C9" s="1" t="s">
        <v>47</v>
      </c>
      <c r="D9" s="1" t="s">
        <v>42</v>
      </c>
      <c r="E9" s="2">
        <v>429013</v>
      </c>
      <c r="F9" s="2">
        <v>5830927</v>
      </c>
      <c r="G9" s="1" t="s">
        <v>30</v>
      </c>
      <c r="H9" s="3">
        <v>42585</v>
      </c>
      <c r="I9" s="1" t="s">
        <v>31</v>
      </c>
      <c r="J9" s="2">
        <v>11.43333333</v>
      </c>
      <c r="K9" s="2">
        <v>300</v>
      </c>
      <c r="L9" s="2">
        <v>1930</v>
      </c>
      <c r="M9" s="9">
        <f t="shared" si="0"/>
        <v>3.3333333333333335</v>
      </c>
      <c r="N9" s="9">
        <f t="shared" si="1"/>
        <v>0.5181347150259068</v>
      </c>
      <c r="O9" s="2">
        <v>10</v>
      </c>
      <c r="P9" s="2">
        <v>0</v>
      </c>
      <c r="Q9" s="2">
        <v>0</v>
      </c>
      <c r="R9" s="2">
        <v>0</v>
      </c>
      <c r="S9" s="2">
        <v>3</v>
      </c>
      <c r="T9" s="2">
        <v>0</v>
      </c>
      <c r="U9" s="2">
        <v>0</v>
      </c>
      <c r="V9" s="2">
        <v>0</v>
      </c>
      <c r="W9" s="2">
        <v>1</v>
      </c>
      <c r="X9" s="2">
        <v>0</v>
      </c>
      <c r="Y9" s="2">
        <v>0</v>
      </c>
      <c r="Z9" s="2">
        <v>0</v>
      </c>
      <c r="AA9" s="2">
        <v>343</v>
      </c>
      <c r="AB9" s="1" t="s">
        <v>42</v>
      </c>
      <c r="AC9" s="1" t="s">
        <v>43</v>
      </c>
      <c r="AD9" s="1" t="s">
        <v>48</v>
      </c>
    </row>
    <row r="10" spans="1:30">
      <c r="A10" s="2">
        <v>8</v>
      </c>
      <c r="B10" s="2">
        <v>14</v>
      </c>
      <c r="C10" s="1" t="s">
        <v>49</v>
      </c>
      <c r="D10" s="1" t="s">
        <v>37</v>
      </c>
      <c r="E10" s="2">
        <v>440541</v>
      </c>
      <c r="F10" s="2">
        <v>5831657</v>
      </c>
      <c r="G10" s="1" t="s">
        <v>38</v>
      </c>
      <c r="H10" s="3">
        <v>42570</v>
      </c>
      <c r="I10" s="1" t="s">
        <v>31</v>
      </c>
      <c r="J10" s="2">
        <v>5.2</v>
      </c>
      <c r="K10" s="2">
        <v>300</v>
      </c>
      <c r="L10" s="2">
        <v>1702</v>
      </c>
      <c r="M10" s="9">
        <f t="shared" si="0"/>
        <v>18</v>
      </c>
      <c r="N10" s="9">
        <f t="shared" si="1"/>
        <v>3.1727379553466508</v>
      </c>
      <c r="O10" s="2">
        <v>54</v>
      </c>
      <c r="P10" s="2">
        <v>2</v>
      </c>
      <c r="Q10" s="2">
        <v>0</v>
      </c>
      <c r="R10" s="2">
        <v>0</v>
      </c>
      <c r="S10" s="2">
        <v>18</v>
      </c>
      <c r="T10" s="2">
        <v>1</v>
      </c>
      <c r="U10" s="2">
        <v>0</v>
      </c>
      <c r="V10" s="2">
        <v>0</v>
      </c>
      <c r="W10" s="2">
        <v>3</v>
      </c>
      <c r="X10" s="2">
        <v>0</v>
      </c>
      <c r="Y10" s="2">
        <v>0</v>
      </c>
      <c r="Z10" s="2">
        <v>0</v>
      </c>
      <c r="AA10" s="2">
        <v>1421</v>
      </c>
      <c r="AB10" s="1" t="s">
        <v>37</v>
      </c>
      <c r="AC10" s="1" t="s">
        <v>32</v>
      </c>
      <c r="AD10" s="1" t="s">
        <v>40</v>
      </c>
    </row>
    <row r="11" spans="1:30">
      <c r="A11" s="2">
        <v>9</v>
      </c>
      <c r="B11" s="2">
        <v>25</v>
      </c>
      <c r="C11" s="1" t="s">
        <v>50</v>
      </c>
      <c r="D11" s="1" t="s">
        <v>51</v>
      </c>
      <c r="E11" s="2">
        <v>437797</v>
      </c>
      <c r="F11" s="2">
        <v>5831737</v>
      </c>
      <c r="G11" s="1" t="s">
        <v>38</v>
      </c>
      <c r="H11" s="3">
        <v>42571</v>
      </c>
      <c r="I11" s="1" t="s">
        <v>31</v>
      </c>
      <c r="J11" s="2">
        <v>2.266666667</v>
      </c>
      <c r="K11" s="2">
        <v>300</v>
      </c>
      <c r="L11" s="2">
        <v>2355</v>
      </c>
      <c r="M11" s="9">
        <f t="shared" si="0"/>
        <v>0.66666666666666674</v>
      </c>
      <c r="N11" s="9">
        <f t="shared" si="1"/>
        <v>8.4925690021231431E-2</v>
      </c>
      <c r="O11" s="2">
        <v>2</v>
      </c>
      <c r="P11" s="2">
        <v>0</v>
      </c>
      <c r="Q11" s="2">
        <v>0</v>
      </c>
      <c r="R11" s="2">
        <v>0</v>
      </c>
      <c r="S11" s="2">
        <v>1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1680</v>
      </c>
      <c r="AB11" s="1" t="s">
        <v>51</v>
      </c>
      <c r="AC11" s="1" t="s">
        <v>39</v>
      </c>
      <c r="AD11" s="1" t="s">
        <v>33</v>
      </c>
    </row>
    <row r="12" spans="1:30">
      <c r="A12" s="2">
        <v>10</v>
      </c>
      <c r="B12" s="2">
        <v>15</v>
      </c>
      <c r="C12" s="1" t="s">
        <v>52</v>
      </c>
      <c r="D12" s="1" t="s">
        <v>29</v>
      </c>
      <c r="E12" s="2">
        <v>442717</v>
      </c>
      <c r="F12" s="2">
        <v>5832334</v>
      </c>
      <c r="G12" s="1" t="s">
        <v>38</v>
      </c>
      <c r="H12" s="3">
        <v>42586</v>
      </c>
      <c r="I12" s="1" t="s">
        <v>31</v>
      </c>
      <c r="J12" s="2">
        <v>1.963333333</v>
      </c>
      <c r="K12" s="2">
        <v>300</v>
      </c>
      <c r="L12" s="2">
        <v>1078</v>
      </c>
      <c r="M12" s="9">
        <f t="shared" si="0"/>
        <v>6.3333333333333339</v>
      </c>
      <c r="N12" s="9">
        <f t="shared" si="1"/>
        <v>1.7625231910946195</v>
      </c>
      <c r="O12" s="2">
        <v>19</v>
      </c>
      <c r="P12" s="2">
        <v>0</v>
      </c>
      <c r="Q12" s="2">
        <v>0</v>
      </c>
      <c r="R12" s="2">
        <v>0</v>
      </c>
      <c r="S12" s="2">
        <v>6</v>
      </c>
      <c r="T12" s="2">
        <v>0</v>
      </c>
      <c r="U12" s="2">
        <v>0</v>
      </c>
      <c r="V12" s="2">
        <v>0</v>
      </c>
      <c r="W12" s="2">
        <v>2</v>
      </c>
      <c r="X12" s="2">
        <v>0</v>
      </c>
      <c r="Y12" s="2">
        <v>0</v>
      </c>
      <c r="Z12" s="2">
        <v>0</v>
      </c>
      <c r="AA12" s="2">
        <v>19157</v>
      </c>
      <c r="AB12" s="1" t="s">
        <v>29</v>
      </c>
      <c r="AC12" s="1" t="s">
        <v>39</v>
      </c>
      <c r="AD12" s="1" t="s">
        <v>33</v>
      </c>
    </row>
    <row r="13" spans="1:30">
      <c r="A13" s="2">
        <v>11</v>
      </c>
      <c r="B13" s="2">
        <v>31</v>
      </c>
      <c r="C13" s="1" t="s">
        <v>53</v>
      </c>
      <c r="D13" s="1" t="s">
        <v>46</v>
      </c>
      <c r="E13" s="2">
        <v>427103</v>
      </c>
      <c r="F13" s="2">
        <v>5832683</v>
      </c>
      <c r="G13" s="1" t="s">
        <v>30</v>
      </c>
      <c r="H13" s="3">
        <v>42585</v>
      </c>
      <c r="I13" s="1" t="s">
        <v>31</v>
      </c>
      <c r="J13" s="2">
        <v>11.9</v>
      </c>
      <c r="K13" s="2">
        <v>300</v>
      </c>
      <c r="L13" s="2">
        <v>3032</v>
      </c>
      <c r="M13" s="9">
        <f t="shared" si="0"/>
        <v>8.3333333333333321</v>
      </c>
      <c r="N13" s="9">
        <f t="shared" si="1"/>
        <v>0.82453825857519791</v>
      </c>
      <c r="O13" s="2">
        <v>25</v>
      </c>
      <c r="P13" s="2">
        <v>9</v>
      </c>
      <c r="Q13" s="2">
        <v>1</v>
      </c>
      <c r="R13" s="2">
        <v>1</v>
      </c>
      <c r="S13" s="2">
        <v>8</v>
      </c>
      <c r="T13" s="2">
        <v>3</v>
      </c>
      <c r="U13" s="2">
        <v>0</v>
      </c>
      <c r="V13" s="2">
        <v>0</v>
      </c>
      <c r="W13" s="2">
        <v>1</v>
      </c>
      <c r="X13" s="2">
        <v>0</v>
      </c>
      <c r="Y13" s="2">
        <v>0</v>
      </c>
      <c r="Z13" s="2">
        <v>0</v>
      </c>
      <c r="AA13" s="2">
        <v>2153</v>
      </c>
      <c r="AB13" s="1" t="s">
        <v>46</v>
      </c>
      <c r="AC13" s="1" t="s">
        <v>43</v>
      </c>
      <c r="AD13" s="1" t="s">
        <v>40</v>
      </c>
    </row>
    <row r="14" spans="1:30">
      <c r="A14" s="2">
        <v>12</v>
      </c>
      <c r="B14" s="2">
        <v>26</v>
      </c>
      <c r="C14" s="1" t="s">
        <v>54</v>
      </c>
      <c r="D14" s="1" t="s">
        <v>55</v>
      </c>
      <c r="E14" s="2">
        <v>446520</v>
      </c>
      <c r="F14" s="2">
        <v>5833322</v>
      </c>
      <c r="G14" s="1" t="s">
        <v>38</v>
      </c>
      <c r="H14" s="3">
        <v>42586</v>
      </c>
      <c r="I14" s="1" t="s">
        <v>31</v>
      </c>
      <c r="J14" s="2">
        <v>1.8666666670000001</v>
      </c>
      <c r="K14" s="2">
        <v>250</v>
      </c>
      <c r="L14" s="2">
        <v>1335</v>
      </c>
      <c r="M14" s="9">
        <f t="shared" si="0"/>
        <v>9.6</v>
      </c>
      <c r="N14" s="9">
        <f t="shared" si="1"/>
        <v>1.7977528089887642</v>
      </c>
      <c r="O14" s="2">
        <v>24</v>
      </c>
      <c r="P14" s="2">
        <v>0</v>
      </c>
      <c r="Q14" s="2">
        <v>0</v>
      </c>
      <c r="R14" s="2">
        <v>0</v>
      </c>
      <c r="S14" s="2">
        <v>10</v>
      </c>
      <c r="T14" s="2">
        <v>0</v>
      </c>
      <c r="U14" s="2">
        <v>0</v>
      </c>
      <c r="V14" s="2">
        <v>0</v>
      </c>
      <c r="W14" s="2">
        <v>2</v>
      </c>
      <c r="X14" s="2">
        <v>0</v>
      </c>
      <c r="Y14" s="2">
        <v>0</v>
      </c>
      <c r="Z14" s="2">
        <v>0</v>
      </c>
      <c r="AA14" s="2">
        <v>700</v>
      </c>
      <c r="AB14" s="1" t="s">
        <v>55</v>
      </c>
      <c r="AC14" s="1" t="s">
        <v>32</v>
      </c>
      <c r="AD14" s="1" t="s">
        <v>33</v>
      </c>
    </row>
    <row r="15" spans="1:30">
      <c r="A15" s="2">
        <v>13</v>
      </c>
      <c r="B15" s="2">
        <v>23</v>
      </c>
      <c r="C15" s="1" t="s">
        <v>56</v>
      </c>
      <c r="D15" s="1" t="s">
        <v>51</v>
      </c>
      <c r="E15" s="2">
        <v>438148</v>
      </c>
      <c r="F15" s="2">
        <v>5833586</v>
      </c>
      <c r="G15" s="1" t="s">
        <v>38</v>
      </c>
      <c r="H15" s="3">
        <v>42586</v>
      </c>
      <c r="I15" s="1" t="s">
        <v>31</v>
      </c>
      <c r="J15" s="2">
        <v>2.6</v>
      </c>
      <c r="K15" s="2">
        <v>300</v>
      </c>
      <c r="L15" s="2">
        <v>2695</v>
      </c>
      <c r="M15" s="9">
        <f t="shared" si="0"/>
        <v>17.666666666666668</v>
      </c>
      <c r="N15" s="9">
        <f t="shared" si="1"/>
        <v>1.9666048237476808</v>
      </c>
      <c r="O15" s="2">
        <v>53</v>
      </c>
      <c r="P15" s="2">
        <v>0</v>
      </c>
      <c r="Q15" s="2">
        <v>0</v>
      </c>
      <c r="R15" s="2">
        <v>0</v>
      </c>
      <c r="S15" s="2">
        <v>18</v>
      </c>
      <c r="T15" s="2">
        <v>0</v>
      </c>
      <c r="U15" s="2">
        <v>0</v>
      </c>
      <c r="V15" s="2">
        <v>0</v>
      </c>
      <c r="W15" s="2">
        <v>2</v>
      </c>
      <c r="X15" s="2">
        <v>0</v>
      </c>
      <c r="Y15" s="2">
        <v>0</v>
      </c>
      <c r="Z15" s="2">
        <v>0</v>
      </c>
      <c r="AA15" s="2">
        <v>1680</v>
      </c>
      <c r="AB15" s="1" t="s">
        <v>51</v>
      </c>
      <c r="AC15" s="1" t="s">
        <v>39</v>
      </c>
      <c r="AD15" s="1" t="s">
        <v>33</v>
      </c>
    </row>
    <row r="16" spans="1:30">
      <c r="A16" s="2">
        <v>14</v>
      </c>
      <c r="B16" s="2">
        <v>16</v>
      </c>
      <c r="C16" s="1" t="s">
        <v>57</v>
      </c>
      <c r="D16" s="1" t="s">
        <v>29</v>
      </c>
      <c r="E16" s="2">
        <v>447725</v>
      </c>
      <c r="F16" s="2">
        <v>5834827</v>
      </c>
      <c r="G16" s="1" t="s">
        <v>38</v>
      </c>
      <c r="H16" s="3">
        <v>42587</v>
      </c>
      <c r="I16" s="1" t="s">
        <v>31</v>
      </c>
      <c r="J16" s="2">
        <v>1.3666666670000001</v>
      </c>
      <c r="K16" s="2">
        <v>300</v>
      </c>
      <c r="L16" s="2">
        <v>1779</v>
      </c>
      <c r="M16" s="9">
        <f t="shared" si="0"/>
        <v>18.333333333333332</v>
      </c>
      <c r="N16" s="9">
        <f t="shared" si="1"/>
        <v>3.0916245081506464</v>
      </c>
      <c r="O16" s="2">
        <v>55</v>
      </c>
      <c r="P16" s="2">
        <v>0</v>
      </c>
      <c r="Q16" s="2">
        <v>0</v>
      </c>
      <c r="R16" s="2">
        <v>0</v>
      </c>
      <c r="S16" s="2">
        <v>18</v>
      </c>
      <c r="T16" s="2">
        <v>0</v>
      </c>
      <c r="U16" s="2">
        <v>0</v>
      </c>
      <c r="V16" s="2">
        <v>0</v>
      </c>
      <c r="W16" s="2">
        <v>3</v>
      </c>
      <c r="X16" s="2">
        <v>0</v>
      </c>
      <c r="Y16" s="2">
        <v>0</v>
      </c>
      <c r="Z16" s="2">
        <v>0</v>
      </c>
      <c r="AA16" s="2">
        <v>51637</v>
      </c>
      <c r="AB16" s="1" t="s">
        <v>29</v>
      </c>
      <c r="AC16" s="1" t="s">
        <v>32</v>
      </c>
      <c r="AD16" s="1" t="s">
        <v>33</v>
      </c>
    </row>
    <row r="17" spans="1:30">
      <c r="A17" s="2">
        <v>15</v>
      </c>
      <c r="B17" s="2">
        <v>12</v>
      </c>
      <c r="C17" s="1" t="s">
        <v>58</v>
      </c>
      <c r="D17" s="1" t="s">
        <v>37</v>
      </c>
      <c r="E17" s="2">
        <v>443456</v>
      </c>
      <c r="F17" s="2">
        <v>5835081</v>
      </c>
      <c r="G17" s="1" t="s">
        <v>38</v>
      </c>
      <c r="H17" s="3">
        <v>42586</v>
      </c>
      <c r="I17" s="1" t="s">
        <v>31</v>
      </c>
      <c r="J17" s="2">
        <v>6.1333333330000004</v>
      </c>
      <c r="K17" s="2">
        <v>300</v>
      </c>
      <c r="L17" s="2">
        <v>2612</v>
      </c>
      <c r="M17" s="9">
        <f t="shared" si="0"/>
        <v>34</v>
      </c>
      <c r="N17" s="9">
        <f t="shared" si="1"/>
        <v>3.9050535987748853</v>
      </c>
      <c r="O17" s="2">
        <v>102</v>
      </c>
      <c r="P17" s="2">
        <v>0</v>
      </c>
      <c r="Q17" s="2">
        <v>0</v>
      </c>
      <c r="R17" s="2">
        <v>0</v>
      </c>
      <c r="S17" s="2">
        <v>34</v>
      </c>
      <c r="T17" s="2">
        <v>0</v>
      </c>
      <c r="U17" s="2">
        <v>0</v>
      </c>
      <c r="V17" s="2">
        <v>0</v>
      </c>
      <c r="W17" s="2">
        <v>4</v>
      </c>
      <c r="X17" s="2">
        <v>0</v>
      </c>
      <c r="Y17" s="2">
        <v>0</v>
      </c>
      <c r="Z17" s="2">
        <v>0</v>
      </c>
      <c r="AA17" s="2">
        <v>1421</v>
      </c>
      <c r="AB17" s="1" t="s">
        <v>37</v>
      </c>
      <c r="AC17" s="1" t="s">
        <v>32</v>
      </c>
      <c r="AD17" s="1" t="s">
        <v>40</v>
      </c>
    </row>
    <row r="18" spans="1:30">
      <c r="A18" s="2">
        <v>16</v>
      </c>
      <c r="B18" s="2">
        <v>21</v>
      </c>
      <c r="C18" s="1" t="s">
        <v>59</v>
      </c>
      <c r="D18" s="1" t="s">
        <v>29</v>
      </c>
      <c r="E18" s="2">
        <v>444372</v>
      </c>
      <c r="F18" s="2">
        <v>5835094</v>
      </c>
      <c r="G18" s="1" t="s">
        <v>38</v>
      </c>
      <c r="H18" s="3">
        <v>42586</v>
      </c>
      <c r="I18" s="1" t="s">
        <v>31</v>
      </c>
      <c r="J18" s="2">
        <v>2.4500000000000002</v>
      </c>
      <c r="K18" s="2">
        <v>300</v>
      </c>
      <c r="L18" s="2">
        <v>1095</v>
      </c>
      <c r="M18" s="9">
        <f t="shared" si="0"/>
        <v>1</v>
      </c>
      <c r="N18" s="9">
        <f t="shared" si="1"/>
        <v>0.27397260273972601</v>
      </c>
      <c r="O18" s="2">
        <v>3</v>
      </c>
      <c r="P18" s="2">
        <v>5</v>
      </c>
      <c r="Q18" s="2">
        <v>0</v>
      </c>
      <c r="R18" s="2">
        <v>0</v>
      </c>
      <c r="S18" s="2">
        <v>1</v>
      </c>
      <c r="T18" s="2">
        <v>2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19157</v>
      </c>
      <c r="AB18" s="1" t="s">
        <v>29</v>
      </c>
      <c r="AC18" s="1" t="s">
        <v>39</v>
      </c>
      <c r="AD18" s="1" t="s">
        <v>33</v>
      </c>
    </row>
    <row r="19" spans="1:30">
      <c r="A19" s="2">
        <v>17</v>
      </c>
      <c r="B19" s="2">
        <v>39</v>
      </c>
      <c r="C19" s="1" t="s">
        <v>60</v>
      </c>
      <c r="D19" s="1" t="s">
        <v>29</v>
      </c>
      <c r="E19" s="2">
        <v>418240</v>
      </c>
      <c r="F19" s="2">
        <v>5835703</v>
      </c>
      <c r="G19" s="1" t="s">
        <v>30</v>
      </c>
      <c r="H19" s="3">
        <v>42585</v>
      </c>
      <c r="I19" s="1" t="s">
        <v>31</v>
      </c>
      <c r="J19" s="2">
        <v>4.0049999999999999</v>
      </c>
      <c r="K19" s="2">
        <v>300</v>
      </c>
      <c r="L19" s="2">
        <v>943</v>
      </c>
      <c r="M19" s="9">
        <f t="shared" si="0"/>
        <v>3.3333333333333335</v>
      </c>
      <c r="N19" s="9">
        <f t="shared" si="1"/>
        <v>1.0604453870625663</v>
      </c>
      <c r="O19" s="2">
        <v>10</v>
      </c>
      <c r="P19" s="2">
        <v>3</v>
      </c>
      <c r="Q19" s="2">
        <v>0</v>
      </c>
      <c r="R19" s="2">
        <v>0</v>
      </c>
      <c r="S19" s="2">
        <v>3</v>
      </c>
      <c r="T19" s="2">
        <v>1</v>
      </c>
      <c r="U19" s="2">
        <v>0</v>
      </c>
      <c r="V19" s="2">
        <v>0</v>
      </c>
      <c r="W19" s="2">
        <v>1</v>
      </c>
      <c r="X19" s="2">
        <v>0</v>
      </c>
      <c r="Y19" s="2">
        <v>0</v>
      </c>
      <c r="Z19" s="2">
        <v>0</v>
      </c>
      <c r="AA19" s="2">
        <v>19395</v>
      </c>
      <c r="AB19" s="1" t="s">
        <v>29</v>
      </c>
      <c r="AC19" s="1" t="s">
        <v>39</v>
      </c>
      <c r="AD19" s="1" t="s">
        <v>33</v>
      </c>
    </row>
    <row r="20" spans="1:30">
      <c r="A20" s="2">
        <v>18</v>
      </c>
      <c r="B20" s="2">
        <v>22</v>
      </c>
      <c r="C20" s="1" t="s">
        <v>61</v>
      </c>
      <c r="D20" s="1" t="s">
        <v>55</v>
      </c>
      <c r="E20" s="2">
        <v>448564</v>
      </c>
      <c r="F20" s="2">
        <v>5836698</v>
      </c>
      <c r="G20" s="1" t="s">
        <v>38</v>
      </c>
      <c r="H20" s="3">
        <v>42587</v>
      </c>
      <c r="I20" s="1" t="s">
        <v>31</v>
      </c>
      <c r="J20" s="2">
        <v>2.9666666670000001</v>
      </c>
      <c r="K20" s="2">
        <v>300</v>
      </c>
      <c r="L20" s="2">
        <v>3842</v>
      </c>
      <c r="M20" s="9">
        <f t="shared" si="0"/>
        <v>18.666666666666668</v>
      </c>
      <c r="N20" s="9">
        <f t="shared" si="1"/>
        <v>1.4575741801145237</v>
      </c>
      <c r="O20" s="2">
        <v>56</v>
      </c>
      <c r="P20" s="2">
        <v>0</v>
      </c>
      <c r="Q20" s="2">
        <v>0</v>
      </c>
      <c r="R20" s="2">
        <v>0</v>
      </c>
      <c r="S20" s="2">
        <v>19</v>
      </c>
      <c r="T20" s="2">
        <v>0</v>
      </c>
      <c r="U20" s="2">
        <v>0</v>
      </c>
      <c r="V20" s="2">
        <v>0</v>
      </c>
      <c r="W20" s="2">
        <v>1</v>
      </c>
      <c r="X20" s="2">
        <v>0</v>
      </c>
      <c r="Y20" s="2">
        <v>0</v>
      </c>
      <c r="Z20" s="2">
        <v>0</v>
      </c>
      <c r="AA20" s="2">
        <v>700</v>
      </c>
      <c r="AB20" s="1" t="s">
        <v>55</v>
      </c>
      <c r="AC20" s="1" t="s">
        <v>32</v>
      </c>
      <c r="AD20" s="1" t="s">
        <v>40</v>
      </c>
    </row>
    <row r="21" spans="1:30">
      <c r="A21" s="2">
        <v>19</v>
      </c>
      <c r="B21" s="2">
        <v>17</v>
      </c>
      <c r="C21" s="1" t="s">
        <v>62</v>
      </c>
      <c r="D21" s="1" t="s">
        <v>63</v>
      </c>
      <c r="E21" s="2">
        <v>440021</v>
      </c>
      <c r="F21" s="2">
        <v>5836910</v>
      </c>
      <c r="G21" s="1" t="s">
        <v>38</v>
      </c>
      <c r="H21" s="3">
        <v>42592</v>
      </c>
      <c r="I21" s="1" t="s">
        <v>31</v>
      </c>
      <c r="J21" s="2">
        <v>6.4666666670000001</v>
      </c>
      <c r="K21" s="2">
        <v>300</v>
      </c>
      <c r="L21" s="2">
        <v>3836</v>
      </c>
      <c r="M21" s="9">
        <f t="shared" si="0"/>
        <v>30.333333333333336</v>
      </c>
      <c r="N21" s="9">
        <f t="shared" si="1"/>
        <v>2.3722627737226274</v>
      </c>
      <c r="O21" s="2">
        <v>91</v>
      </c>
      <c r="P21" s="2">
        <v>0</v>
      </c>
      <c r="Q21" s="2">
        <v>0</v>
      </c>
      <c r="R21" s="2">
        <v>0</v>
      </c>
      <c r="S21" s="2">
        <v>30</v>
      </c>
      <c r="T21" s="2">
        <v>0</v>
      </c>
      <c r="U21" s="2">
        <v>0</v>
      </c>
      <c r="V21" s="2">
        <v>0</v>
      </c>
      <c r="W21" s="2">
        <v>2</v>
      </c>
      <c r="X21" s="2">
        <v>0</v>
      </c>
      <c r="Y21" s="2">
        <v>0</v>
      </c>
      <c r="Z21" s="2">
        <v>0</v>
      </c>
      <c r="AA21" s="2">
        <v>1680</v>
      </c>
      <c r="AB21" s="1" t="s">
        <v>51</v>
      </c>
      <c r="AC21" s="1" t="s">
        <v>32</v>
      </c>
      <c r="AD21" s="1" t="s">
        <v>40</v>
      </c>
    </row>
    <row r="22" spans="1:30">
      <c r="A22" s="2">
        <v>20</v>
      </c>
      <c r="B22" s="2">
        <v>24</v>
      </c>
      <c r="C22" s="1" t="s">
        <v>64</v>
      </c>
      <c r="D22" s="1" t="s">
        <v>29</v>
      </c>
      <c r="E22" s="2">
        <v>431199</v>
      </c>
      <c r="F22" s="2">
        <v>5837146</v>
      </c>
      <c r="G22" s="1" t="s">
        <v>38</v>
      </c>
      <c r="H22" s="3">
        <v>42570</v>
      </c>
      <c r="I22" s="1" t="s">
        <v>31</v>
      </c>
      <c r="J22" s="2">
        <v>3.6766666670000001</v>
      </c>
      <c r="K22" s="2">
        <v>300</v>
      </c>
      <c r="L22" s="2">
        <v>1180</v>
      </c>
      <c r="M22" s="9">
        <f t="shared" si="0"/>
        <v>0.33333333333333337</v>
      </c>
      <c r="N22" s="9">
        <f t="shared" si="1"/>
        <v>8.4745762711864403E-2</v>
      </c>
      <c r="O22" s="2">
        <v>1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19159</v>
      </c>
      <c r="AB22" s="1" t="s">
        <v>65</v>
      </c>
      <c r="AC22" s="1" t="s">
        <v>32</v>
      </c>
      <c r="AD22" s="1" t="s">
        <v>33</v>
      </c>
    </row>
    <row r="23" spans="1:30">
      <c r="A23" s="2">
        <v>21</v>
      </c>
      <c r="B23" s="2">
        <v>13</v>
      </c>
      <c r="C23" s="1" t="s">
        <v>66</v>
      </c>
      <c r="D23" s="1" t="s">
        <v>55</v>
      </c>
      <c r="E23" s="2">
        <v>447982</v>
      </c>
      <c r="F23" s="2">
        <v>5837683</v>
      </c>
      <c r="G23" s="1" t="s">
        <v>38</v>
      </c>
      <c r="H23" s="3">
        <v>42592</v>
      </c>
      <c r="I23" s="1" t="s">
        <v>31</v>
      </c>
      <c r="J23" s="2">
        <v>5.2</v>
      </c>
      <c r="K23" s="2">
        <v>300</v>
      </c>
      <c r="L23" s="2">
        <v>2396</v>
      </c>
      <c r="M23" s="9">
        <f t="shared" si="0"/>
        <v>7.0000000000000009</v>
      </c>
      <c r="N23" s="9">
        <f t="shared" si="1"/>
        <v>0.87646076794657757</v>
      </c>
      <c r="O23" s="2">
        <v>21</v>
      </c>
      <c r="P23" s="2">
        <v>0</v>
      </c>
      <c r="Q23" s="2">
        <v>0</v>
      </c>
      <c r="R23" s="2">
        <v>0</v>
      </c>
      <c r="S23" s="2">
        <v>7</v>
      </c>
      <c r="T23" s="2">
        <v>0</v>
      </c>
      <c r="U23" s="2">
        <v>0</v>
      </c>
      <c r="V23" s="2">
        <v>0</v>
      </c>
      <c r="W23" s="2">
        <v>1</v>
      </c>
      <c r="X23" s="2">
        <v>0</v>
      </c>
      <c r="Y23" s="2">
        <v>0</v>
      </c>
      <c r="Z23" s="2">
        <v>0</v>
      </c>
      <c r="AA23" s="2">
        <v>700</v>
      </c>
      <c r="AB23" s="1" t="s">
        <v>55</v>
      </c>
      <c r="AC23" s="1" t="s">
        <v>32</v>
      </c>
      <c r="AD23" s="1" t="s">
        <v>40</v>
      </c>
    </row>
    <row r="24" spans="1:30">
      <c r="A24" s="2">
        <v>22</v>
      </c>
      <c r="B24" s="2">
        <v>33</v>
      </c>
      <c r="C24" s="1" t="s">
        <v>67</v>
      </c>
      <c r="D24" s="1" t="s">
        <v>68</v>
      </c>
      <c r="E24" s="2">
        <v>428214</v>
      </c>
      <c r="F24" s="2">
        <v>5838774</v>
      </c>
      <c r="G24" s="1" t="s">
        <v>30</v>
      </c>
      <c r="H24" s="3">
        <v>42586</v>
      </c>
      <c r="I24" s="1" t="s">
        <v>31</v>
      </c>
      <c r="J24" s="2">
        <v>9.6999999999999993</v>
      </c>
      <c r="K24" s="2">
        <v>300</v>
      </c>
      <c r="L24" s="2">
        <v>1351</v>
      </c>
      <c r="M24" s="9">
        <f t="shared" si="0"/>
        <v>0.33333333333333337</v>
      </c>
      <c r="N24" s="9">
        <f t="shared" si="1"/>
        <v>7.4019245003700954E-2</v>
      </c>
      <c r="O24" s="2">
        <v>1</v>
      </c>
      <c r="P24" s="2">
        <v>0</v>
      </c>
      <c r="Q24" s="2">
        <v>2</v>
      </c>
      <c r="R24" s="2">
        <v>0</v>
      </c>
      <c r="S24" s="2">
        <v>0</v>
      </c>
      <c r="T24" s="2">
        <v>0</v>
      </c>
      <c r="U24" s="2">
        <v>1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1873</v>
      </c>
      <c r="AB24" s="1" t="s">
        <v>68</v>
      </c>
      <c r="AC24" s="1" t="s">
        <v>39</v>
      </c>
      <c r="AD24" s="1" t="s">
        <v>40</v>
      </c>
    </row>
    <row r="25" spans="1:30">
      <c r="A25" s="2">
        <v>23</v>
      </c>
      <c r="B25" s="2">
        <v>10</v>
      </c>
      <c r="C25" s="1" t="s">
        <v>69</v>
      </c>
      <c r="D25" s="1" t="s">
        <v>37</v>
      </c>
      <c r="E25" s="2">
        <v>444762</v>
      </c>
      <c r="F25" s="2">
        <v>5839381</v>
      </c>
      <c r="G25" s="1" t="s">
        <v>38</v>
      </c>
      <c r="H25" s="3">
        <v>42587</v>
      </c>
      <c r="I25" s="1" t="s">
        <v>31</v>
      </c>
      <c r="J25" s="2">
        <v>6.8666666669999996</v>
      </c>
      <c r="K25" s="2">
        <v>300</v>
      </c>
      <c r="L25" s="2">
        <v>4269</v>
      </c>
      <c r="M25" s="9">
        <f t="shared" si="0"/>
        <v>8.6666666666666679</v>
      </c>
      <c r="N25" s="9">
        <f t="shared" si="1"/>
        <v>0.60904193019442487</v>
      </c>
      <c r="O25" s="2">
        <v>26</v>
      </c>
      <c r="P25" s="2">
        <v>1</v>
      </c>
      <c r="Q25" s="2">
        <v>0</v>
      </c>
      <c r="R25" s="2">
        <v>0</v>
      </c>
      <c r="S25" s="2">
        <v>9</v>
      </c>
      <c r="T25" s="2">
        <v>0</v>
      </c>
      <c r="U25" s="2">
        <v>0</v>
      </c>
      <c r="V25" s="2">
        <v>0</v>
      </c>
      <c r="W25" s="2">
        <v>1</v>
      </c>
      <c r="X25" s="2">
        <v>0</v>
      </c>
      <c r="Y25" s="2">
        <v>0</v>
      </c>
      <c r="Z25" s="2">
        <v>0</v>
      </c>
      <c r="AA25" s="2">
        <v>1421</v>
      </c>
      <c r="AB25" s="1" t="s">
        <v>37</v>
      </c>
      <c r="AC25" s="1" t="s">
        <v>32</v>
      </c>
      <c r="AD25" s="1" t="s">
        <v>40</v>
      </c>
    </row>
    <row r="26" spans="1:30">
      <c r="A26" s="2">
        <v>24</v>
      </c>
      <c r="B26" s="2">
        <v>20</v>
      </c>
      <c r="C26" s="1" t="s">
        <v>70</v>
      </c>
      <c r="D26" s="1" t="s">
        <v>29</v>
      </c>
      <c r="E26" s="2">
        <v>436344</v>
      </c>
      <c r="F26" s="2">
        <v>5839790</v>
      </c>
      <c r="G26" s="1" t="s">
        <v>38</v>
      </c>
      <c r="H26" s="3">
        <v>42586</v>
      </c>
      <c r="I26" s="1" t="s">
        <v>31</v>
      </c>
      <c r="J26" s="2">
        <v>2.1333333329999999</v>
      </c>
      <c r="K26" s="2">
        <v>300</v>
      </c>
      <c r="L26" s="2">
        <v>1955</v>
      </c>
      <c r="M26" s="9">
        <f t="shared" si="0"/>
        <v>5.3333333333333339</v>
      </c>
      <c r="N26" s="9">
        <f t="shared" si="1"/>
        <v>0.81841432225063926</v>
      </c>
      <c r="O26" s="2">
        <v>16</v>
      </c>
      <c r="P26" s="2">
        <v>0</v>
      </c>
      <c r="Q26" s="2">
        <v>0</v>
      </c>
      <c r="R26" s="2">
        <v>0</v>
      </c>
      <c r="S26" s="2">
        <v>5</v>
      </c>
      <c r="T26" s="2">
        <v>0</v>
      </c>
      <c r="U26" s="2">
        <v>0</v>
      </c>
      <c r="V26" s="2">
        <v>0</v>
      </c>
      <c r="W26" s="2">
        <v>1</v>
      </c>
      <c r="X26" s="2">
        <v>0</v>
      </c>
      <c r="Y26" s="2">
        <v>0</v>
      </c>
      <c r="Z26" s="2">
        <v>0</v>
      </c>
      <c r="AA26" s="2">
        <v>51195</v>
      </c>
      <c r="AB26" s="1" t="s">
        <v>29</v>
      </c>
      <c r="AC26" s="1" t="s">
        <v>39</v>
      </c>
      <c r="AD26" s="1" t="s">
        <v>33</v>
      </c>
    </row>
    <row r="27" spans="1:30">
      <c r="A27" s="2">
        <v>25</v>
      </c>
      <c r="B27" s="2">
        <v>30</v>
      </c>
      <c r="C27" s="1" t="s">
        <v>71</v>
      </c>
      <c r="D27" s="1" t="s">
        <v>46</v>
      </c>
      <c r="E27" s="2">
        <v>445105</v>
      </c>
      <c r="F27" s="2">
        <v>5840987</v>
      </c>
      <c r="G27" s="1" t="s">
        <v>38</v>
      </c>
      <c r="H27" s="3">
        <v>42522</v>
      </c>
      <c r="I27" s="1" t="s">
        <v>72</v>
      </c>
      <c r="J27" s="2">
        <v>22.333333329999999</v>
      </c>
      <c r="K27" s="2">
        <v>2000</v>
      </c>
      <c r="L27" s="2">
        <v>2255</v>
      </c>
      <c r="M27" s="9">
        <f t="shared" si="0"/>
        <v>0.1</v>
      </c>
      <c r="N27" s="9">
        <f t="shared" si="1"/>
        <v>8.8691796008869173E-2</v>
      </c>
      <c r="O27" s="2">
        <v>2</v>
      </c>
      <c r="P27" s="2">
        <v>4</v>
      </c>
      <c r="Q27" s="2">
        <v>0</v>
      </c>
      <c r="R27" s="2">
        <v>11</v>
      </c>
      <c r="S27" s="2">
        <v>0</v>
      </c>
      <c r="T27" s="2">
        <v>0</v>
      </c>
      <c r="U27" s="2">
        <v>0</v>
      </c>
      <c r="V27" s="2">
        <v>1</v>
      </c>
      <c r="W27" s="2">
        <v>0</v>
      </c>
      <c r="X27" s="2">
        <v>0</v>
      </c>
      <c r="Y27" s="2">
        <v>0</v>
      </c>
      <c r="Z27" s="2">
        <v>0</v>
      </c>
      <c r="AA27" s="2">
        <v>2153</v>
      </c>
      <c r="AB27" s="1" t="s">
        <v>46</v>
      </c>
      <c r="AC27" s="1" t="s">
        <v>73</v>
      </c>
      <c r="AD27" s="1" t="s">
        <v>48</v>
      </c>
    </row>
    <row r="28" spans="1:30">
      <c r="A28" s="2">
        <v>26</v>
      </c>
      <c r="B28" s="2">
        <v>32</v>
      </c>
      <c r="C28" s="1" t="s">
        <v>74</v>
      </c>
      <c r="D28" s="1" t="s">
        <v>46</v>
      </c>
      <c r="E28" s="2">
        <v>445788</v>
      </c>
      <c r="F28" s="2">
        <v>5841157</v>
      </c>
      <c r="G28" s="1" t="s">
        <v>38</v>
      </c>
      <c r="H28" s="3">
        <v>42522</v>
      </c>
      <c r="I28" s="1" t="s">
        <v>72</v>
      </c>
      <c r="J28" s="2">
        <v>29.333333329999999</v>
      </c>
      <c r="K28" s="2">
        <v>2000</v>
      </c>
      <c r="L28" s="2">
        <v>2592</v>
      </c>
      <c r="M28" s="9">
        <f t="shared" si="0"/>
        <v>0.8</v>
      </c>
      <c r="N28" s="9">
        <f t="shared" si="1"/>
        <v>0.61728395061728392</v>
      </c>
      <c r="O28" s="2">
        <v>16</v>
      </c>
      <c r="P28" s="2">
        <v>7</v>
      </c>
      <c r="Q28" s="2">
        <v>0</v>
      </c>
      <c r="R28" s="2">
        <v>7</v>
      </c>
      <c r="S28" s="2">
        <v>1</v>
      </c>
      <c r="T28" s="2">
        <v>0</v>
      </c>
      <c r="U28" s="2">
        <v>0</v>
      </c>
      <c r="V28" s="2">
        <v>0</v>
      </c>
      <c r="W28" s="2">
        <v>1</v>
      </c>
      <c r="X28" s="2">
        <v>0</v>
      </c>
      <c r="Y28" s="2">
        <v>0</v>
      </c>
      <c r="Z28" s="2">
        <v>0</v>
      </c>
      <c r="AA28" s="2">
        <v>2153</v>
      </c>
      <c r="AB28" s="1" t="s">
        <v>46</v>
      </c>
      <c r="AC28" s="1" t="s">
        <v>73</v>
      </c>
      <c r="AD28" s="1" t="s">
        <v>48</v>
      </c>
    </row>
    <row r="29" spans="1:30">
      <c r="A29" s="2">
        <v>27</v>
      </c>
      <c r="B29" s="2">
        <v>28</v>
      </c>
      <c r="C29" s="1" t="s">
        <v>75</v>
      </c>
      <c r="D29" s="1" t="s">
        <v>76</v>
      </c>
      <c r="E29" s="2">
        <v>459572</v>
      </c>
      <c r="F29" s="2">
        <v>5841626</v>
      </c>
      <c r="G29" s="1" t="s">
        <v>38</v>
      </c>
      <c r="H29" s="3">
        <v>42593</v>
      </c>
      <c r="I29" s="1" t="s">
        <v>31</v>
      </c>
      <c r="J29" s="2">
        <v>2.0666666669999998</v>
      </c>
      <c r="K29" s="2">
        <v>150</v>
      </c>
      <c r="L29" s="2">
        <v>1825</v>
      </c>
      <c r="M29" s="9">
        <f t="shared" si="0"/>
        <v>0</v>
      </c>
      <c r="N29" s="9">
        <f t="shared" si="1"/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1743</v>
      </c>
      <c r="AB29" s="1" t="s">
        <v>76</v>
      </c>
      <c r="AC29" s="1" t="s">
        <v>32</v>
      </c>
      <c r="AD29" s="1" t="s">
        <v>77</v>
      </c>
    </row>
    <row r="30" spans="1:30">
      <c r="A30" s="2">
        <v>28</v>
      </c>
      <c r="B30" s="2">
        <v>4</v>
      </c>
      <c r="C30" s="1" t="s">
        <v>78</v>
      </c>
      <c r="D30" s="1" t="s">
        <v>29</v>
      </c>
      <c r="E30" s="2">
        <v>466213</v>
      </c>
      <c r="F30" s="2">
        <v>5841693</v>
      </c>
      <c r="G30" s="1" t="s">
        <v>79</v>
      </c>
      <c r="H30" s="3">
        <v>42565</v>
      </c>
      <c r="I30" s="1" t="s">
        <v>31</v>
      </c>
      <c r="J30" s="2">
        <v>1.6333333329999999</v>
      </c>
      <c r="K30" s="2">
        <v>300</v>
      </c>
      <c r="L30" s="2">
        <v>1574</v>
      </c>
      <c r="M30" s="9">
        <f t="shared" si="0"/>
        <v>0</v>
      </c>
      <c r="N30" s="9">
        <f t="shared" si="1"/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50876</v>
      </c>
      <c r="AB30" s="1" t="s">
        <v>29</v>
      </c>
      <c r="AC30" s="1" t="s">
        <v>39</v>
      </c>
      <c r="AD30" s="1" t="s">
        <v>33</v>
      </c>
    </row>
    <row r="31" spans="1:30">
      <c r="A31" s="2">
        <v>29</v>
      </c>
      <c r="B31" s="2">
        <v>18</v>
      </c>
      <c r="C31" s="1" t="s">
        <v>80</v>
      </c>
      <c r="D31" s="1" t="s">
        <v>29</v>
      </c>
      <c r="E31" s="2">
        <v>455723</v>
      </c>
      <c r="F31" s="2">
        <v>5842187</v>
      </c>
      <c r="G31" s="1" t="s">
        <v>38</v>
      </c>
      <c r="H31" s="3">
        <v>42598</v>
      </c>
      <c r="I31" s="1" t="s">
        <v>31</v>
      </c>
      <c r="J31" s="2">
        <v>6.3133333330000001</v>
      </c>
      <c r="K31" s="2">
        <v>300</v>
      </c>
      <c r="L31" s="2">
        <v>2119</v>
      </c>
      <c r="M31" s="9">
        <f t="shared" si="0"/>
        <v>0.66666666666666674</v>
      </c>
      <c r="N31" s="9">
        <f t="shared" si="1"/>
        <v>9.4384143463898063E-2</v>
      </c>
      <c r="O31" s="2">
        <v>2</v>
      </c>
      <c r="P31" s="2">
        <v>0</v>
      </c>
      <c r="Q31" s="2">
        <v>0</v>
      </c>
      <c r="R31" s="2">
        <v>0</v>
      </c>
      <c r="S31" s="2">
        <v>1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20388</v>
      </c>
      <c r="AB31" s="1" t="s">
        <v>29</v>
      </c>
      <c r="AC31" s="1" t="s">
        <v>32</v>
      </c>
      <c r="AD31" s="1" t="s">
        <v>33</v>
      </c>
    </row>
    <row r="32" spans="1:30">
      <c r="A32" s="2">
        <v>30</v>
      </c>
      <c r="B32" s="2">
        <v>34</v>
      </c>
      <c r="C32" s="1" t="s">
        <v>81</v>
      </c>
      <c r="D32" s="1" t="s">
        <v>46</v>
      </c>
      <c r="E32" s="2">
        <v>447220</v>
      </c>
      <c r="F32" s="2">
        <v>5842215</v>
      </c>
      <c r="G32" s="1" t="s">
        <v>38</v>
      </c>
      <c r="H32" s="3">
        <v>42523</v>
      </c>
      <c r="I32" s="1" t="s">
        <v>72</v>
      </c>
      <c r="J32" s="2">
        <v>31.666666670000001</v>
      </c>
      <c r="K32" s="2">
        <v>2000</v>
      </c>
      <c r="L32" s="2">
        <v>2150</v>
      </c>
      <c r="M32" s="9">
        <f t="shared" si="0"/>
        <v>0.1</v>
      </c>
      <c r="N32" s="9">
        <f t="shared" si="1"/>
        <v>9.3023255813953487E-2</v>
      </c>
      <c r="O32" s="2">
        <v>2</v>
      </c>
      <c r="P32" s="2">
        <v>3</v>
      </c>
      <c r="Q32" s="2">
        <v>0</v>
      </c>
      <c r="R32" s="2">
        <v>10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2153</v>
      </c>
      <c r="AB32" s="1" t="s">
        <v>46</v>
      </c>
      <c r="AC32" s="1" t="s">
        <v>73</v>
      </c>
      <c r="AD32" s="1" t="s">
        <v>48</v>
      </c>
    </row>
    <row r="33" spans="1:30">
      <c r="A33" s="2">
        <v>31</v>
      </c>
      <c r="B33" s="2">
        <v>2</v>
      </c>
      <c r="C33" s="1" t="s">
        <v>82</v>
      </c>
      <c r="D33" s="1" t="s">
        <v>29</v>
      </c>
      <c r="E33" s="2">
        <v>465733</v>
      </c>
      <c r="F33" s="2">
        <v>5844708</v>
      </c>
      <c r="G33" s="1" t="s">
        <v>79</v>
      </c>
      <c r="H33" s="3">
        <v>42564</v>
      </c>
      <c r="I33" s="1" t="s">
        <v>31</v>
      </c>
      <c r="J33" s="2">
        <v>3.5</v>
      </c>
      <c r="K33" s="2">
        <v>300</v>
      </c>
      <c r="L33" s="2">
        <v>3057</v>
      </c>
      <c r="M33" s="9">
        <f t="shared" si="0"/>
        <v>0</v>
      </c>
      <c r="N33" s="9">
        <f t="shared" si="1"/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50762</v>
      </c>
      <c r="AB33" s="1" t="s">
        <v>29</v>
      </c>
      <c r="AC33" s="1" t="s">
        <v>39</v>
      </c>
      <c r="AD33" s="1" t="s">
        <v>33</v>
      </c>
    </row>
    <row r="34" spans="1:30">
      <c r="A34" s="2">
        <v>32</v>
      </c>
      <c r="B34" s="2">
        <v>27</v>
      </c>
      <c r="C34" s="1" t="s">
        <v>83</v>
      </c>
      <c r="D34" s="1" t="s">
        <v>76</v>
      </c>
      <c r="E34" s="2">
        <v>456046</v>
      </c>
      <c r="F34" s="2">
        <v>5845360</v>
      </c>
      <c r="G34" s="1" t="s">
        <v>38</v>
      </c>
      <c r="H34" s="3">
        <v>42593</v>
      </c>
      <c r="I34" s="1" t="s">
        <v>31</v>
      </c>
      <c r="J34" s="2">
        <v>8.7333333329999991</v>
      </c>
      <c r="K34" s="2">
        <v>300</v>
      </c>
      <c r="L34" s="2">
        <v>3529</v>
      </c>
      <c r="M34" s="9">
        <f t="shared" si="0"/>
        <v>2.666666666666667</v>
      </c>
      <c r="N34" s="9">
        <f t="shared" si="1"/>
        <v>0.22669311419665628</v>
      </c>
      <c r="O34" s="2">
        <v>8</v>
      </c>
      <c r="P34" s="2">
        <v>0</v>
      </c>
      <c r="Q34" s="2">
        <v>0</v>
      </c>
      <c r="R34" s="2">
        <v>0</v>
      </c>
      <c r="S34" s="2">
        <v>3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1743</v>
      </c>
      <c r="AB34" s="1" t="s">
        <v>76</v>
      </c>
      <c r="AC34" s="1" t="s">
        <v>32</v>
      </c>
      <c r="AD34" s="1" t="s">
        <v>33</v>
      </c>
    </row>
    <row r="35" spans="1:30">
      <c r="A35" s="2">
        <v>33</v>
      </c>
      <c r="B35" s="2">
        <v>6</v>
      </c>
      <c r="C35" s="1" t="s">
        <v>84</v>
      </c>
      <c r="D35" s="1" t="s">
        <v>29</v>
      </c>
      <c r="E35" s="2">
        <v>470245</v>
      </c>
      <c r="F35" s="2">
        <v>5848154</v>
      </c>
      <c r="G35" s="1" t="s">
        <v>79</v>
      </c>
      <c r="H35" s="3">
        <v>42564</v>
      </c>
      <c r="I35" s="1" t="s">
        <v>31</v>
      </c>
      <c r="J35" s="2">
        <v>2.2000000000000002</v>
      </c>
      <c r="K35" s="2">
        <v>200</v>
      </c>
      <c r="L35" s="2">
        <v>2766</v>
      </c>
      <c r="M35" s="9">
        <f t="shared" si="0"/>
        <v>0</v>
      </c>
      <c r="N35" s="9">
        <f t="shared" si="1"/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50767</v>
      </c>
      <c r="AB35" s="1" t="s">
        <v>29</v>
      </c>
      <c r="AC35" s="1" t="s">
        <v>39</v>
      </c>
      <c r="AD35" s="1" t="s">
        <v>33</v>
      </c>
    </row>
    <row r="36" spans="1:30">
      <c r="A36" s="2">
        <v>34</v>
      </c>
      <c r="B36" s="2">
        <v>3</v>
      </c>
      <c r="C36" s="1" t="s">
        <v>85</v>
      </c>
      <c r="D36" s="1" t="s">
        <v>29</v>
      </c>
      <c r="E36" s="2">
        <v>466859</v>
      </c>
      <c r="F36" s="2">
        <v>5848869</v>
      </c>
      <c r="G36" s="1" t="s">
        <v>79</v>
      </c>
      <c r="H36" s="3">
        <v>42599</v>
      </c>
      <c r="I36" s="1" t="s">
        <v>31</v>
      </c>
      <c r="J36" s="2">
        <v>3.766666667</v>
      </c>
      <c r="K36" s="2">
        <v>300</v>
      </c>
      <c r="L36" s="2">
        <v>4320</v>
      </c>
      <c r="M36" s="9">
        <f t="shared" si="0"/>
        <v>8</v>
      </c>
      <c r="N36" s="9">
        <f t="shared" si="1"/>
        <v>0.55555555555555558</v>
      </c>
      <c r="O36" s="2">
        <v>24</v>
      </c>
      <c r="P36" s="2">
        <v>0</v>
      </c>
      <c r="Q36" s="2">
        <v>0</v>
      </c>
      <c r="R36" s="2">
        <v>0</v>
      </c>
      <c r="S36" s="2">
        <v>8</v>
      </c>
      <c r="T36" s="2">
        <v>0</v>
      </c>
      <c r="U36" s="2">
        <v>0</v>
      </c>
      <c r="V36" s="2">
        <v>0</v>
      </c>
      <c r="W36" s="2">
        <v>1</v>
      </c>
      <c r="X36" s="2">
        <v>0</v>
      </c>
      <c r="Y36" s="2">
        <v>0</v>
      </c>
      <c r="Z36" s="2">
        <v>0</v>
      </c>
      <c r="AA36" s="2">
        <v>50762</v>
      </c>
      <c r="AB36" s="1" t="s">
        <v>29</v>
      </c>
      <c r="AC36" s="1" t="s">
        <v>32</v>
      </c>
      <c r="AD36" s="1" t="s">
        <v>33</v>
      </c>
    </row>
    <row r="37" spans="1:30">
      <c r="A37" s="2">
        <v>35</v>
      </c>
      <c r="B37" s="2">
        <v>1</v>
      </c>
      <c r="C37" s="1" t="s">
        <v>86</v>
      </c>
      <c r="D37" s="1" t="s">
        <v>29</v>
      </c>
      <c r="E37" s="2">
        <v>469582</v>
      </c>
      <c r="F37" s="2">
        <v>5849740</v>
      </c>
      <c r="G37" s="1" t="s">
        <v>79</v>
      </c>
      <c r="H37" s="3">
        <v>42563</v>
      </c>
      <c r="I37" s="1" t="s">
        <v>31</v>
      </c>
      <c r="J37" s="2">
        <v>3</v>
      </c>
      <c r="K37" s="2">
        <v>300</v>
      </c>
      <c r="L37" s="2">
        <v>4153</v>
      </c>
      <c r="M37" s="9">
        <f t="shared" si="0"/>
        <v>0</v>
      </c>
      <c r="N37" s="9">
        <f t="shared" si="1"/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50767</v>
      </c>
      <c r="AB37" s="1" t="s">
        <v>29</v>
      </c>
      <c r="AC37" s="1" t="s">
        <v>39</v>
      </c>
      <c r="AD37" s="1" t="s">
        <v>33</v>
      </c>
    </row>
    <row r="38" spans="1:30">
      <c r="A38" s="2">
        <v>36</v>
      </c>
      <c r="B38" s="2">
        <v>5</v>
      </c>
      <c r="C38" s="1" t="s">
        <v>87</v>
      </c>
      <c r="D38" s="1" t="s">
        <v>29</v>
      </c>
      <c r="E38" s="2">
        <v>473759</v>
      </c>
      <c r="F38" s="2">
        <v>5850044</v>
      </c>
      <c r="G38" s="1" t="s">
        <v>79</v>
      </c>
      <c r="H38" s="3">
        <v>42562</v>
      </c>
      <c r="I38" s="1" t="s">
        <v>31</v>
      </c>
      <c r="J38" s="2">
        <v>4.6333333330000004</v>
      </c>
      <c r="K38" s="2">
        <v>100</v>
      </c>
      <c r="L38" s="2">
        <v>844</v>
      </c>
      <c r="M38" s="9">
        <f t="shared" si="0"/>
        <v>0</v>
      </c>
      <c r="N38" s="9">
        <f t="shared" si="1"/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50622</v>
      </c>
      <c r="AB38" s="1" t="s">
        <v>29</v>
      </c>
      <c r="AC38" s="1" t="s">
        <v>32</v>
      </c>
      <c r="AD38" s="1" t="s">
        <v>33</v>
      </c>
    </row>
    <row r="39" spans="1:30">
      <c r="A39" s="2">
        <v>37</v>
      </c>
      <c r="B39" s="2">
        <v>9</v>
      </c>
      <c r="C39" s="1" t="s">
        <v>88</v>
      </c>
      <c r="D39" s="1" t="s">
        <v>29</v>
      </c>
      <c r="E39" s="2">
        <v>466081</v>
      </c>
      <c r="F39" s="2">
        <v>5852037</v>
      </c>
      <c r="G39" s="1" t="s">
        <v>79</v>
      </c>
      <c r="H39" s="3">
        <v>42614</v>
      </c>
      <c r="I39" s="1" t="s">
        <v>31</v>
      </c>
      <c r="J39" s="2">
        <v>3.733333333</v>
      </c>
      <c r="K39" s="2">
        <v>300</v>
      </c>
      <c r="L39" s="2">
        <v>2620</v>
      </c>
      <c r="M39" s="9">
        <f t="shared" si="0"/>
        <v>0.66666666666666674</v>
      </c>
      <c r="N39" s="9">
        <f t="shared" si="1"/>
        <v>7.6335877862595422E-2</v>
      </c>
      <c r="O39" s="2">
        <v>2</v>
      </c>
      <c r="P39" s="2">
        <v>0</v>
      </c>
      <c r="Q39" s="2">
        <v>0</v>
      </c>
      <c r="R39" s="2">
        <v>0</v>
      </c>
      <c r="S39" s="2">
        <v>1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22558</v>
      </c>
      <c r="AB39" s="1" t="s">
        <v>29</v>
      </c>
      <c r="AC39" s="1" t="s">
        <v>39</v>
      </c>
      <c r="AD39" s="1" t="s">
        <v>77</v>
      </c>
    </row>
    <row r="40" spans="1:30">
      <c r="A40" s="2">
        <v>38</v>
      </c>
      <c r="B40" s="2">
        <v>8</v>
      </c>
      <c r="C40" s="1" t="s">
        <v>89</v>
      </c>
      <c r="D40" s="1" t="s">
        <v>29</v>
      </c>
      <c r="E40" s="2">
        <v>481457</v>
      </c>
      <c r="F40" s="2">
        <v>5852222</v>
      </c>
      <c r="G40" s="1" t="s">
        <v>79</v>
      </c>
      <c r="H40" s="3">
        <v>42598</v>
      </c>
      <c r="I40" s="1" t="s">
        <v>31</v>
      </c>
      <c r="J40" s="2">
        <v>3.9666666670000001</v>
      </c>
      <c r="K40" s="2">
        <v>300</v>
      </c>
      <c r="L40" s="2">
        <v>5522</v>
      </c>
      <c r="M40" s="9">
        <f t="shared" si="0"/>
        <v>0</v>
      </c>
      <c r="N40" s="9">
        <f t="shared" si="1"/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22914</v>
      </c>
      <c r="AB40" s="1" t="s">
        <v>29</v>
      </c>
      <c r="AC40" s="1" t="s">
        <v>32</v>
      </c>
      <c r="AD40" s="1" t="s">
        <v>33</v>
      </c>
    </row>
    <row r="41" spans="1:30">
      <c r="A41" s="2">
        <v>39</v>
      </c>
      <c r="B41" s="2">
        <v>7</v>
      </c>
      <c r="C41" s="1" t="s">
        <v>90</v>
      </c>
      <c r="D41" s="1" t="s">
        <v>29</v>
      </c>
      <c r="E41" s="2">
        <v>479595</v>
      </c>
      <c r="F41" s="2">
        <v>5853946</v>
      </c>
      <c r="G41" s="1" t="s">
        <v>79</v>
      </c>
      <c r="H41" s="3">
        <v>42562</v>
      </c>
      <c r="I41" s="1" t="s">
        <v>31</v>
      </c>
      <c r="J41" s="2">
        <v>6.3</v>
      </c>
      <c r="K41" s="2">
        <v>300</v>
      </c>
      <c r="L41" s="2">
        <v>3151</v>
      </c>
      <c r="M41" s="9">
        <f t="shared" si="0"/>
        <v>0</v>
      </c>
      <c r="N41" s="9">
        <f t="shared" si="1"/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22914</v>
      </c>
      <c r="AB41" s="1" t="s">
        <v>29</v>
      </c>
      <c r="AC41" s="1" t="s">
        <v>32</v>
      </c>
      <c r="AD41" s="1" t="s">
        <v>33</v>
      </c>
    </row>
  </sheetData>
  <mergeCells count="3">
    <mergeCell ref="O1:R1"/>
    <mergeCell ref="S1:V1"/>
    <mergeCell ref="W1:Z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I16" sqref="I16"/>
    </sheetView>
  </sheetViews>
  <sheetFormatPr baseColWidth="10" defaultRowHeight="14" x14ac:dyDescent="0"/>
  <cols>
    <col min="1" max="1" width="29.1640625" customWidth="1"/>
    <col min="2" max="2" width="15" customWidth="1"/>
    <col min="3" max="3" width="12.1640625" customWidth="1"/>
    <col min="4" max="4" width="10.1640625" customWidth="1"/>
    <col min="5" max="6" width="12.1640625" customWidth="1"/>
    <col min="7" max="7" width="27.1640625" customWidth="1"/>
    <col min="8" max="8" width="32.6640625" bestFit="1" customWidth="1"/>
    <col min="9" max="9" width="31.33203125" customWidth="1"/>
  </cols>
  <sheetData>
    <row r="1" spans="1:5" ht="20">
      <c r="A1" s="20" t="s">
        <v>144</v>
      </c>
    </row>
    <row r="2" spans="1:5">
      <c r="A2" s="7" t="s">
        <v>145</v>
      </c>
    </row>
    <row r="6" spans="1:5">
      <c r="A6" s="14" t="s">
        <v>129</v>
      </c>
      <c r="B6" s="14" t="s">
        <v>127</v>
      </c>
    </row>
    <row r="7" spans="1:5">
      <c r="B7" t="s">
        <v>79</v>
      </c>
      <c r="C7" t="s">
        <v>38</v>
      </c>
      <c r="D7" t="s">
        <v>30</v>
      </c>
      <c r="E7" t="s">
        <v>128</v>
      </c>
    </row>
    <row r="8" spans="1:5">
      <c r="A8" t="s">
        <v>126</v>
      </c>
      <c r="B8" s="15">
        <v>0.23076923076923078</v>
      </c>
      <c r="C8" s="15">
        <v>0.5641025641025641</v>
      </c>
      <c r="D8" s="15">
        <v>0.20512820512820512</v>
      </c>
      <c r="E8" s="15">
        <v>1</v>
      </c>
    </row>
    <row r="11" spans="1:5">
      <c r="A11" s="14" t="s">
        <v>130</v>
      </c>
      <c r="B11" s="14" t="s">
        <v>127</v>
      </c>
    </row>
    <row r="12" spans="1:5">
      <c r="B12" t="s">
        <v>79</v>
      </c>
      <c r="C12" t="s">
        <v>38</v>
      </c>
      <c r="D12" t="s">
        <v>30</v>
      </c>
      <c r="E12" t="s">
        <v>128</v>
      </c>
    </row>
    <row r="13" spans="1:5">
      <c r="A13" t="s">
        <v>126</v>
      </c>
      <c r="B13" s="2">
        <v>2.6480833972917743</v>
      </c>
      <c r="C13" s="2">
        <v>10.603428162282654</v>
      </c>
      <c r="D13" s="2">
        <v>4.3532053507038722</v>
      </c>
      <c r="E13" s="2">
        <v>8.9795930819736363</v>
      </c>
    </row>
    <row r="16" spans="1:5">
      <c r="A16" s="14" t="s">
        <v>146</v>
      </c>
      <c r="B16" s="14" t="s">
        <v>127</v>
      </c>
    </row>
    <row r="17" spans="1:6">
      <c r="B17" t="s">
        <v>77</v>
      </c>
      <c r="C17" t="s">
        <v>33</v>
      </c>
      <c r="D17" t="s">
        <v>40</v>
      </c>
      <c r="E17" t="s">
        <v>48</v>
      </c>
      <c r="F17" t="s">
        <v>128</v>
      </c>
    </row>
    <row r="18" spans="1:6">
      <c r="A18" t="s">
        <v>126</v>
      </c>
      <c r="B18" s="15">
        <v>5.128205128205128E-2</v>
      </c>
      <c r="C18" s="15">
        <v>0.53846153846153844</v>
      </c>
      <c r="D18" s="15">
        <v>0.30769230769230771</v>
      </c>
      <c r="E18" s="15">
        <v>0.10256410256410256</v>
      </c>
      <c r="F18" s="15">
        <v>1</v>
      </c>
    </row>
    <row r="21" spans="1:6">
      <c r="A21" s="14" t="s">
        <v>130</v>
      </c>
      <c r="B21" s="14" t="s">
        <v>127</v>
      </c>
    </row>
    <row r="22" spans="1:6">
      <c r="B22" t="s">
        <v>77</v>
      </c>
      <c r="C22" t="s">
        <v>33</v>
      </c>
      <c r="D22" t="s">
        <v>40</v>
      </c>
      <c r="E22" t="s">
        <v>48</v>
      </c>
      <c r="F22" t="s">
        <v>128</v>
      </c>
    </row>
    <row r="23" spans="1:6">
      <c r="A23" t="s">
        <v>126</v>
      </c>
      <c r="B23" s="2">
        <v>0.47140452079103173</v>
      </c>
      <c r="C23" s="2">
        <v>5.6252454385018824</v>
      </c>
      <c r="D23" s="2">
        <v>11.559536998638642</v>
      </c>
      <c r="E23" s="2">
        <v>1.5358674711344367</v>
      </c>
      <c r="F23" s="2">
        <v>8.9795930819736363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topLeftCell="A24" workbookViewId="0">
      <selection activeCell="H60" sqref="H60"/>
    </sheetView>
  </sheetViews>
  <sheetFormatPr baseColWidth="10" defaultColWidth="8.83203125" defaultRowHeight="14" x14ac:dyDescent="0"/>
  <cols>
    <col min="5" max="5" width="9.33203125" bestFit="1" customWidth="1"/>
    <col min="6" max="6" width="10.33203125" bestFit="1" customWidth="1"/>
    <col min="7" max="7" width="10.1640625" bestFit="1" customWidth="1"/>
    <col min="8" max="9" width="9.1640625" bestFit="1" customWidth="1"/>
  </cols>
  <sheetData>
    <row r="1" spans="1:10">
      <c r="A1" t="s">
        <v>94</v>
      </c>
    </row>
    <row r="3" spans="1:10">
      <c r="A3" t="s">
        <v>95</v>
      </c>
      <c r="B3" t="s">
        <v>96</v>
      </c>
    </row>
    <row r="4" spans="1:10">
      <c r="B4" t="s">
        <v>100</v>
      </c>
    </row>
    <row r="5" spans="1:10">
      <c r="B5" t="s">
        <v>101</v>
      </c>
    </row>
    <row r="7" spans="1:10">
      <c r="A7" t="s">
        <v>97</v>
      </c>
      <c r="B7" t="s">
        <v>98</v>
      </c>
    </row>
    <row r="8" spans="1:10">
      <c r="B8" t="s">
        <v>99</v>
      </c>
    </row>
    <row r="9" spans="1:10">
      <c r="B9" s="7" t="s">
        <v>119</v>
      </c>
      <c r="C9" s="7"/>
      <c r="D9" s="7"/>
      <c r="E9" s="7"/>
      <c r="F9" s="7"/>
      <c r="G9" s="7"/>
      <c r="H9" s="7"/>
      <c r="I9" s="7"/>
      <c r="J9" s="7"/>
    </row>
    <row r="11" spans="1:10">
      <c r="A11" t="s">
        <v>102</v>
      </c>
      <c r="B11" t="s">
        <v>103</v>
      </c>
    </row>
    <row r="12" spans="1:10">
      <c r="C12" t="s">
        <v>104</v>
      </c>
      <c r="E12" s="6" t="s">
        <v>106</v>
      </c>
    </row>
    <row r="13" spans="1:10">
      <c r="C13" t="s">
        <v>105</v>
      </c>
      <c r="E13" s="6" t="s">
        <v>107</v>
      </c>
    </row>
    <row r="14" spans="1:10">
      <c r="C14" t="s">
        <v>108</v>
      </c>
      <c r="E14" s="6" t="s">
        <v>109</v>
      </c>
    </row>
    <row r="18" spans="2:7">
      <c r="B18" t="s">
        <v>110</v>
      </c>
    </row>
    <row r="20" spans="2:7">
      <c r="B20" t="s">
        <v>111</v>
      </c>
      <c r="D20">
        <v>100</v>
      </c>
      <c r="F20" t="s">
        <v>112</v>
      </c>
    </row>
    <row r="22" spans="2:7">
      <c r="B22" s="11" t="s">
        <v>113</v>
      </c>
      <c r="C22" s="12"/>
      <c r="D22" s="12"/>
      <c r="E22" s="12"/>
      <c r="F22" s="12"/>
      <c r="G22" s="12"/>
    </row>
    <row r="24" spans="2:7">
      <c r="G24" t="s">
        <v>140</v>
      </c>
    </row>
    <row r="25" spans="2:7">
      <c r="E25" t="s">
        <v>114</v>
      </c>
      <c r="F25" t="s">
        <v>117</v>
      </c>
      <c r="G25" t="s">
        <v>118</v>
      </c>
    </row>
    <row r="26" spans="2:7">
      <c r="C26" t="s">
        <v>12</v>
      </c>
      <c r="E26">
        <f>_xlfn.STDEV.S(Sheet1!M3:M41)</f>
        <v>8.979593081973638</v>
      </c>
      <c r="F26">
        <f>$D$20</f>
        <v>100</v>
      </c>
      <c r="G26" s="18">
        <f>E26/SQRT(F26)</f>
        <v>0.8979593081973638</v>
      </c>
    </row>
    <row r="29" spans="2:7">
      <c r="B29" s="12" t="s">
        <v>133</v>
      </c>
      <c r="C29" s="12"/>
      <c r="D29" s="12"/>
      <c r="E29" s="12" t="s">
        <v>134</v>
      </c>
      <c r="F29" s="12"/>
      <c r="G29" s="12"/>
    </row>
    <row r="31" spans="2:7">
      <c r="C31" t="s">
        <v>147</v>
      </c>
      <c r="E31" t="s">
        <v>120</v>
      </c>
      <c r="F31" t="s">
        <v>121</v>
      </c>
      <c r="G31" t="s">
        <v>122</v>
      </c>
    </row>
    <row r="32" spans="2:7">
      <c r="C32" t="s">
        <v>131</v>
      </c>
      <c r="E32" s="16">
        <f>VarEst!B8</f>
        <v>0.23076923076923078</v>
      </c>
      <c r="F32" s="16">
        <f>VarEst!C8</f>
        <v>0.5641025641025641</v>
      </c>
      <c r="G32" s="16">
        <f>VarEst!D8</f>
        <v>0.20512820512820512</v>
      </c>
    </row>
    <row r="33" spans="2:11">
      <c r="C33" t="s">
        <v>132</v>
      </c>
      <c r="E33" s="10">
        <f>VarEst!B13</f>
        <v>2.6480833972917743</v>
      </c>
      <c r="F33" s="10">
        <f>VarEst!C13</f>
        <v>10.603428162282654</v>
      </c>
      <c r="G33" s="10">
        <f>VarEst!D13</f>
        <v>4.3532053507038722</v>
      </c>
    </row>
    <row r="34" spans="2:11">
      <c r="J34" t="s">
        <v>137</v>
      </c>
    </row>
    <row r="35" spans="2:11">
      <c r="C35" t="s">
        <v>135</v>
      </c>
      <c r="E35" s="21">
        <f>$D$20/3</f>
        <v>33.333333333333336</v>
      </c>
      <c r="F35" s="21">
        <f>$D$20/3</f>
        <v>33.333333333333336</v>
      </c>
      <c r="G35" s="21">
        <f>$D$20/3</f>
        <v>33.333333333333336</v>
      </c>
      <c r="J35">
        <f>E35+F35+G35</f>
        <v>100</v>
      </c>
      <c r="K35" t="s">
        <v>138</v>
      </c>
    </row>
    <row r="36" spans="2:11">
      <c r="C36" t="s">
        <v>136</v>
      </c>
      <c r="E36">
        <f>E33/SQRT(E35)</f>
        <v>0.45866149867889533</v>
      </c>
      <c r="F36">
        <f>F33/SQRT(F35)</f>
        <v>1.8365676311480246</v>
      </c>
      <c r="G36">
        <f>G33/SQRT(G35)</f>
        <v>0.75399728431997992</v>
      </c>
      <c r="J36" s="19">
        <f>SQRT(SUMPRODUCT(E36:G36,E36:G36,$E$32:$G$32,$E$32:$G$32))</f>
        <v>1.0528279450618192</v>
      </c>
      <c r="K36" t="s">
        <v>139</v>
      </c>
    </row>
    <row r="38" spans="2:11">
      <c r="C38" t="s">
        <v>141</v>
      </c>
      <c r="E38" s="21">
        <f>$D$20*E32</f>
        <v>23.076923076923077</v>
      </c>
      <c r="F38" s="21">
        <f>$D$20*F32</f>
        <v>56.410256410256409</v>
      </c>
      <c r="G38" s="21">
        <f>$D$20*G32</f>
        <v>20.512820512820511</v>
      </c>
      <c r="J38">
        <f>E38+F38+G38</f>
        <v>100</v>
      </c>
      <c r="K38" t="s">
        <v>138</v>
      </c>
    </row>
    <row r="39" spans="2:11">
      <c r="C39" t="s">
        <v>136</v>
      </c>
      <c r="E39">
        <f>E33/SQRT(E38)</f>
        <v>0.55124251718930539</v>
      </c>
      <c r="F39">
        <f>F33/SQRT(F38)</f>
        <v>1.4117807682811718</v>
      </c>
      <c r="G39">
        <f>G33/SQRT(G38)</f>
        <v>0.96116171648588622</v>
      </c>
      <c r="J39" s="19">
        <f>SQRT(SUMPRODUCT(E39:G39,E39:G39,$E$32:$G$32,$E$32:$G$32))</f>
        <v>0.83023528317216155</v>
      </c>
      <c r="K39" t="s">
        <v>139</v>
      </c>
    </row>
    <row r="41" spans="2:11">
      <c r="C41" t="s">
        <v>142</v>
      </c>
      <c r="E41" s="21">
        <f>$D$20*E$32*E$33/SUMPRODUCT($E$32:$G$32,$E$33:$G$33)</f>
        <v>8.1637513430441171</v>
      </c>
      <c r="F41" s="21">
        <f>$D$20*F$32*F$33/SUMPRODUCT($E$32:$G$32,$E$33:$G$33)</f>
        <v>79.90695466612253</v>
      </c>
      <c r="G41" s="21">
        <f>$D$20*G$32*G$33/SUMPRODUCT($E$32:$G$32,$E$33:$G$33)</f>
        <v>11.929293990833335</v>
      </c>
      <c r="J41">
        <f>E41+F41+G41</f>
        <v>99.999999999999972</v>
      </c>
      <c r="K41" t="s">
        <v>138</v>
      </c>
    </row>
    <row r="42" spans="2:11">
      <c r="C42" t="s">
        <v>136</v>
      </c>
      <c r="E42">
        <f>E33/SQRT(E41)</f>
        <v>0.92680159880028268</v>
      </c>
      <c r="F42">
        <f>F33/SQRT(F41)</f>
        <v>1.1861893175919247</v>
      </c>
      <c r="G42">
        <f>G33/SQRT(G41)</f>
        <v>1.2603808137779955</v>
      </c>
      <c r="J42" s="19">
        <f>SQRT(SUMPRODUCT(E42:G42,E42:G42,$E$32:$G$32,$E$32:$G$32))</f>
        <v>0.74854823833711626</v>
      </c>
      <c r="K42" t="s">
        <v>139</v>
      </c>
    </row>
    <row r="46" spans="2:11">
      <c r="B46" s="12" t="s">
        <v>133</v>
      </c>
      <c r="C46" s="12"/>
      <c r="D46" s="12"/>
      <c r="E46" s="12" t="s">
        <v>143</v>
      </c>
      <c r="F46" s="12"/>
      <c r="G46" s="12"/>
    </row>
    <row r="48" spans="2:11">
      <c r="C48" t="s">
        <v>147</v>
      </c>
      <c r="E48">
        <v>2</v>
      </c>
      <c r="F48">
        <v>3</v>
      </c>
      <c r="G48">
        <v>4</v>
      </c>
      <c r="H48">
        <v>5</v>
      </c>
    </row>
    <row r="49" spans="3:11">
      <c r="C49" t="s">
        <v>131</v>
      </c>
      <c r="E49" s="16">
        <f>VarEst!B18</f>
        <v>5.128205128205128E-2</v>
      </c>
      <c r="F49" s="16">
        <f>VarEst!C18</f>
        <v>0.53846153846153844</v>
      </c>
      <c r="G49" s="16">
        <f>VarEst!D18</f>
        <v>0.30769230769230771</v>
      </c>
      <c r="H49" s="16">
        <f>VarEst!E18</f>
        <v>0.10256410256410256</v>
      </c>
    </row>
    <row r="50" spans="3:11">
      <c r="C50" t="s">
        <v>132</v>
      </c>
      <c r="E50" s="17">
        <f>VarEst!B23</f>
        <v>0.47140452079103173</v>
      </c>
      <c r="F50" s="17">
        <f>VarEst!C23</f>
        <v>5.6252454385018824</v>
      </c>
      <c r="G50" s="17">
        <f>VarEst!D23</f>
        <v>11.559536998638642</v>
      </c>
      <c r="H50" s="17">
        <f>VarEst!E23</f>
        <v>1.5358674711344367</v>
      </c>
    </row>
    <row r="51" spans="3:11">
      <c r="J51" t="s">
        <v>137</v>
      </c>
    </row>
    <row r="52" spans="3:11">
      <c r="C52" t="s">
        <v>148</v>
      </c>
      <c r="E52">
        <f>$D$20/4</f>
        <v>25</v>
      </c>
      <c r="F52">
        <f t="shared" ref="F52:H52" si="0">$D$20/4</f>
        <v>25</v>
      </c>
      <c r="G52">
        <f t="shared" si="0"/>
        <v>25</v>
      </c>
      <c r="H52">
        <f t="shared" si="0"/>
        <v>25</v>
      </c>
      <c r="J52">
        <f>E52+F52+G52+H52</f>
        <v>100</v>
      </c>
      <c r="K52" t="s">
        <v>138</v>
      </c>
    </row>
    <row r="53" spans="3:11">
      <c r="C53" t="s">
        <v>136</v>
      </c>
      <c r="E53">
        <f>E50/SQRT(E52)</f>
        <v>9.428090415820635E-2</v>
      </c>
      <c r="F53">
        <f>F50/SQRT(F52)</f>
        <v>1.1250490877003765</v>
      </c>
      <c r="G53">
        <f>G50/SQRT(G52)</f>
        <v>2.3119073997277284</v>
      </c>
      <c r="H53">
        <f>H50/SQRT(H52)</f>
        <v>0.30717349422688733</v>
      </c>
      <c r="J53" s="19">
        <f>SQRT(SUMPRODUCT(E53:H53,E53:H53,$E$49:$H$49,$E$49:$H$49))</f>
        <v>0.93489670999531471</v>
      </c>
      <c r="K53" t="s">
        <v>139</v>
      </c>
    </row>
    <row r="55" spans="3:11">
      <c r="C55" t="s">
        <v>149</v>
      </c>
      <c r="E55" s="21">
        <f>$D$20*E49</f>
        <v>5.1282051282051277</v>
      </c>
      <c r="F55" s="21">
        <f>$D$20*F49</f>
        <v>53.846153846153847</v>
      </c>
      <c r="G55" s="21">
        <f>$D$20*G49</f>
        <v>30.76923076923077</v>
      </c>
      <c r="H55" s="21">
        <f>$D$20*H49</f>
        <v>10.256410256410255</v>
      </c>
      <c r="J55">
        <f>E55+F55+G55+H55</f>
        <v>100</v>
      </c>
      <c r="K55" t="s">
        <v>138</v>
      </c>
    </row>
    <row r="56" spans="3:11">
      <c r="C56" t="s">
        <v>136</v>
      </c>
      <c r="E56">
        <f>E50/SQRT(E55)</f>
        <v>0.2081665999466133</v>
      </c>
      <c r="F56">
        <f>F50/SQRT(F55)</f>
        <v>0.76659173448268603</v>
      </c>
      <c r="G56">
        <f>G50/SQRT(G55)</f>
        <v>2.0839251684607367</v>
      </c>
      <c r="H56">
        <f>H50/SQRT(H55)</f>
        <v>0.47957446415198834</v>
      </c>
      <c r="J56" s="19">
        <f>SQRT(SUMPRODUCT(E56:H56,E56:H56,$E$49:$H$49,$E$49:$H$49))</f>
        <v>0.76424352720070132</v>
      </c>
      <c r="K56" t="s">
        <v>139</v>
      </c>
    </row>
    <row r="58" spans="3:11">
      <c r="C58" t="s">
        <v>150</v>
      </c>
      <c r="E58" s="21">
        <f>$D$20*E$49*E$50/SUMPRODUCT($E$49:$H$49,$E$50:$H$50)</f>
        <v>0.35721816707311288</v>
      </c>
      <c r="F58" s="21">
        <f t="shared" ref="F58:H58" si="1">$D$20*F$49*F$50/SUMPRODUCT($E$49:$H$49,$E$50:$H$50)</f>
        <v>44.757989477517825</v>
      </c>
      <c r="G58" s="21">
        <f t="shared" si="1"/>
        <v>52.557110974733185</v>
      </c>
      <c r="H58" s="21">
        <f t="shared" si="1"/>
        <v>2.3276813806758816</v>
      </c>
      <c r="J58">
        <f>E58+F58+G58+H58</f>
        <v>100.00000000000001</v>
      </c>
      <c r="K58" t="s">
        <v>138</v>
      </c>
    </row>
    <row r="59" spans="3:11">
      <c r="C59" t="s">
        <v>136</v>
      </c>
      <c r="E59">
        <f>E50/SQRT(E58)</f>
        <v>0.78872748351353816</v>
      </c>
      <c r="F59">
        <f>F50/SQRT(F58)</f>
        <v>0.84082611377984562</v>
      </c>
      <c r="G59">
        <f>G50/SQRT(G58)</f>
        <v>1.5945006373816024</v>
      </c>
      <c r="H59">
        <f>H50/SQRT(H58)</f>
        <v>1.0066812414985349</v>
      </c>
      <c r="J59" s="19">
        <f>SQRT(SUMPRODUCT(E59:H59,E59:H59,$E$49:$H$49,$E$49:$H$49))</f>
        <v>0.67674583876493077</v>
      </c>
      <c r="K59" t="s">
        <v>139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7" sqref="A7"/>
    </sheetView>
  </sheetViews>
  <sheetFormatPr baseColWidth="10" defaultColWidth="8.83203125" defaultRowHeight="14" x14ac:dyDescent="0"/>
  <sheetData>
    <row r="1" spans="1:6" ht="20">
      <c r="A1" s="13" t="s">
        <v>123</v>
      </c>
    </row>
    <row r="2" spans="1:6">
      <c r="A2" s="7" t="s">
        <v>124</v>
      </c>
      <c r="B2" s="7"/>
      <c r="C2" s="7"/>
      <c r="D2" s="7"/>
      <c r="E2" s="7"/>
      <c r="F2" s="7"/>
    </row>
    <row r="6" spans="1:6">
      <c r="A6" t="s">
        <v>125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VarEst</vt:lpstr>
      <vt:lpstr>Impact of Stratification</vt:lpstr>
      <vt:lpstr>Sheet3</vt:lpstr>
    </vt:vector>
  </TitlesOfParts>
  <Company>GOA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laura.macpherson</dc:creator>
  <cp:lastModifiedBy>Carl Schwarz</cp:lastModifiedBy>
  <dcterms:created xsi:type="dcterms:W3CDTF">2017-03-20T15:01:42Z</dcterms:created>
  <dcterms:modified xsi:type="dcterms:W3CDTF">2017-05-14T19:47:40Z</dcterms:modified>
</cp:coreProperties>
</file>