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T16" i="1"/>
  <c r="C16" i="1" s="1"/>
  <c r="T17" i="1"/>
  <c r="D17" i="1" s="1"/>
  <c r="T18" i="1"/>
  <c r="E18" i="1" s="1"/>
  <c r="C2" i="24"/>
  <c r="C3" i="24"/>
  <c r="C4" i="24"/>
  <c r="C5" i="24"/>
  <c r="C6" i="24"/>
  <c r="B16" i="1"/>
  <c r="B17" i="1"/>
  <c r="B18" i="1"/>
  <c r="R18" i="1" l="1"/>
  <c r="P16" i="1"/>
  <c r="N18" i="1"/>
  <c r="M17" i="1"/>
  <c r="L16" i="1"/>
  <c r="J18" i="1"/>
  <c r="I17" i="1"/>
  <c r="H16" i="1"/>
  <c r="F18" i="1"/>
  <c r="E17" i="1"/>
  <c r="D16" i="1"/>
  <c r="S18" i="1"/>
  <c r="R17" i="1"/>
  <c r="O18" i="1"/>
  <c r="N17" i="1"/>
  <c r="M16" i="1"/>
  <c r="K18" i="1"/>
  <c r="J17" i="1"/>
  <c r="I16" i="1"/>
  <c r="G18" i="1"/>
  <c r="F17" i="1"/>
  <c r="E16" i="1"/>
  <c r="C18" i="1"/>
  <c r="S17" i="1"/>
  <c r="R16" i="1"/>
  <c r="P18" i="1"/>
  <c r="Q18" i="1" s="1"/>
  <c r="O17" i="1"/>
  <c r="N16" i="1"/>
  <c r="L18" i="1"/>
  <c r="K17" i="1"/>
  <c r="J16" i="1"/>
  <c r="H18" i="1"/>
  <c r="G17" i="1"/>
  <c r="F16" i="1"/>
  <c r="D18" i="1"/>
  <c r="C17" i="1"/>
  <c r="S16" i="1"/>
  <c r="P17" i="1"/>
  <c r="O16" i="1"/>
  <c r="M18" i="1"/>
  <c r="L17" i="1"/>
  <c r="K16" i="1"/>
  <c r="I18" i="1"/>
  <c r="H17" i="1"/>
  <c r="G16" i="1"/>
  <c r="C5" i="30"/>
  <c r="G5" i="30"/>
  <c r="H5" i="30"/>
  <c r="K5" i="30"/>
  <c r="L5" i="30"/>
  <c r="M5" i="30"/>
  <c r="N5" i="30"/>
  <c r="O5" i="30"/>
  <c r="P5" i="30"/>
  <c r="Q5" i="30"/>
  <c r="I2" i="30"/>
  <c r="I5" i="30" s="1"/>
  <c r="I3" i="30"/>
  <c r="I4" i="30"/>
  <c r="Q17" i="1" l="1"/>
  <c r="Q16" i="1"/>
  <c r="P19" i="1"/>
  <c r="O19" i="1"/>
  <c r="B19" i="1"/>
  <c r="I3" i="1"/>
  <c r="A19" i="1" l="1"/>
  <c r="J19" i="1" l="1"/>
  <c r="I19" i="1"/>
  <c r="K19" i="1"/>
  <c r="M19" i="1"/>
  <c r="D19" i="1"/>
  <c r="L19" i="1"/>
  <c r="C19" i="1"/>
  <c r="Q19" i="1" l="1"/>
  <c r="H19" i="1"/>
  <c r="G19" i="1"/>
  <c r="F19" i="1"/>
  <c r="E19"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de las celdas y presionar Ctrl + A.
El listado se refresca cuando se abre CCB o cuando se cambia de empresa o cuando se presiona Ctrl + 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<sst xmlns="http://schemas.openxmlformats.org/spreadsheetml/2006/main" count="599" uniqueCount="304">
  <si>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</si>
  <si>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</si>
  <si>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</si>
  <si>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</si>
  <si>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</si>
  <si>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</si>
  <si>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</si>
  <si>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</si>
  <si>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</si>
  <si>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</si>
  <si>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</si>
  <si>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</si>
  <si>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</si>
  <si>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</si>
  <si>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</si>
  <si>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</si>
  <si>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</si>
  <si>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</si>
  <si>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</si>
  <si>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</si>
  <si>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</si>
  <si>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</si>
  <si>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</si>
  <si>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</si>
  <si>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</si>
  <si>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</si>
  <si>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</si>
  <si>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</si>
  <si>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</si>
  <si>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</si>
  <si>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</si>
  <si>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</si>
  <si>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</si>
  <si>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</si>
  <si>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</si>
  <si>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</si>
  <si>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</si>
  <si>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</si>
  <si>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</si>
  <si>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</si>
  <si>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</si>
  <si>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</si>
  <si>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</si>
  <si>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</si>
  <si>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</si>
  <si>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</si>
  <si>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</si>
  <si>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</si>
  <si>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</si>
  <si>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</si>
  <si>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</si>
  <si>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</si>
  <si>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</si>
  <si>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</si>
  <si>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</si>
  <si>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</si>
  <si>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</si>
  <si>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</si>
  <si>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</si>
  <si>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</si>
  <si>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</si>
  <si>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</si>
  <si>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</si>
  <si>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</si>
  <si>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</si>
  <si>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</si>
  <si>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</si>
  <si>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</si>
  <si>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</si>
  <si>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</si>
  <si>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</si>
  <si>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</si>
  <si>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</si>
  <si>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</si>
  <si>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</si>
  <si>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</si>
  <si>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</si>
  <si>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</si>
  <si>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</si>
  <si>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</si>
  <si>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</si>
  <si>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</si>
  <si>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</si>
  <si>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</si>
  <si>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</si>
  <si>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</si>
  <si>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</si>
  <si>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</si>
  <si>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</si>
  <si>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</si>
  <si>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</si>
  <si>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</si>
  <si>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</si>
  <si>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</si>
  <si>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</si>
  <si>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</si>
  <si>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</si>
  <si>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</si>
  <si>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</si>
  <si>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</si>
  <si>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</si>
  <si>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</si>
  <si>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</si>
  <si>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</si>
  <si>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</si>
  <si>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</si>
  <si>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</si>
  <si>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</si>
  <si>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</si>
  <si>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</si>
  <si>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</si>
  <si>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</si>
  <si>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</si>
  <si>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</si>
  <si>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</si>
  <si>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</si>
  <si>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</si>
  <si>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</si>
  <si>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</si>
  <si>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</si>
  <si>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</si>
  <si>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</si>
  <si>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</si>
  <si>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</si>
  <si>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</si>
  <si>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</si>
  <si>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</si>
  <si>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</si>
  <si>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</si>
  <si>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</si>
  <si>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</si>
  <si>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</si>
  <si>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</si>
  <si>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</si>
  <si>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</si>
  <si>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</si>
  <si>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</si>
  <si>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</si>
  <si>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</si>
  <si>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</si>
  <si>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</si>
  <si>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</si>
  <si>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</si>
  <si>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</si>
  <si>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</si>
  <si>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</si>
  <si>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</si>
  <si>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</si>
  <si>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</si>
  <si>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</si>
  <si>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</si>
  <si>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</si>
  <si>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</si>
  <si>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</si>
  <si>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</si>
  <si>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</si>
  <si>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</si>
  <si>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</si>
  <si>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</si>
  <si>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</si>
  <si>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</si>
  <si>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</si>
  <si>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</si>
  <si>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</si>
  <si>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</si>
  <si>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</si>
  <si>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</si>
  <si>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</si>
  <si>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</si>
  <si>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</si>
  <si>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</si>
  <si>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</si>
  <si>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</si>
  <si>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</si>
  <si>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</si>
  <si>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</si>
  <si>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</si>
  <si>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</si>
  <si>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</si>
  <si>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</si>
  <si>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</si>
  <si>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</si>
  <si>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</si>
  <si>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</si>
  <si>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</si>
  <si>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</si>
  <si>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</si>
  <si>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</si>
  <si>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</si>
  <si>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</si>
  <si>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</si>
  <si>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</si>
  <si>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</si>
  <si>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</si>
  <si>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</si>
  <si>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</si>
  <si>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</si>
  <si>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</si>
  <si>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</si>
  <si>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</si>
  <si>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</si>
  <si>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</si>
  <si>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</si>
  <si>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</si>
  <si>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</si>
  <si>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</si>
  <si>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</si>
  <si>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</si>
  <si>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</si>
  <si>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</si>
  <si>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</si>
  <si>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</si>
  <si>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</si>
  <si>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</si>
  <si>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</si>
  <si>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</si>
  <si>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</si>
  <si>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</si>
  <si>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</si>
  <si>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</si>
  <si>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</si>
  <si>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</si>
  <si>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</si>
  <si>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</si>
  <si>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</si>
  <si>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</si>
  <si>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</si>
  <si>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</si>
  <si>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</si>
  <si>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</si>
  <si>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</si>
  <si>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</si>
  <si>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</si>
  <si>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</si>
  <si>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</si>
  <si>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</si>
  <si>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</si>
  <si>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</si>
  <si>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</si>
  <si>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</si>
  <si>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</si>
  <si>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</si>
  <si>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</si>
  <si>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</si>
  <si>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</si>
  <si>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</si>
  <si>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</si>
  <si>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</si>
  <si>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</si>
  <si>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</si>
  <si>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</si>
  <si>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</si>
  <si>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</si>
  <si>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</si>
  <si>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</si>
  <si>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</si>
  <si>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</si>
  <si>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</si>
  <si>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</si>
  <si>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</si>
  <si>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</si>
  <si>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</si>
  <si>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</si>
  <si>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</si>
  <si>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</si>
  <si>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</si>
  <si>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</si>
  <si>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</si>
  <si>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</si>
  <si>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</si>
  <si>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</si>
  <si>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</si>
  <si>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</si>
  <si>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</si>
  <si>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</si>
  <si>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</si>
  <si>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</si>
  <si>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</si>
  <si>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</si>
  <si>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</si>
  <si>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</si>
  <si>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</si>
  <si>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</si>
  <si>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</si>
  <si>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</si>
  <si>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</si>
  <si>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</si>
  <si>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</si>
  <si>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</si>
  <si>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</si>
  <si>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</si>
  <si>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</si>
  <si>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</si>
  <si>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</si>
  <si>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</si>
  <si>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</si>
  <si>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</si>
  <si>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</si>
  <si>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</si>
  <si>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</si>
  <si>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</si>
  <si>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</si>
  <si>
    <t>O:\Accesorios.xlsm</t>
  </si>
  <si>
    <t>dir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</si>
</sst>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emf"/><Relationship Id="rId6" Type="http://schemas.openxmlformats.org/officeDocument/2006/relationships/image" Target="../media/image14.png"/><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9.emf"/><Relationship Id="rId5" Type="http://schemas.openxmlformats.org/officeDocument/2006/relationships/image" Target="../media/image3.emf"/><Relationship Id="rId10" Type="http://schemas.openxmlformats.org/officeDocument/2006/relationships/image" Target="../media/image16.emf"/><Relationship Id="rId4" Type="http://schemas.openxmlformats.org/officeDocument/2006/relationships/image" Target="../media/image8.emf"/><Relationship Id="rId9"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803"/>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2119973</xdr:colOff>
      <xdr:row>11</xdr:row>
      <xdr:rowOff>166562</xdr:rowOff>
    </xdr:from>
    <xdr:to>
      <xdr:col>1</xdr:col>
      <xdr:colOff>132291</xdr:colOff>
      <xdr:row>13</xdr:row>
      <xdr:rowOff>57546</xdr:rowOff>
    </xdr:to>
    <xdr:pic macro="[0]!Listado_Completo_HojasCB">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2119973" y="2262062"/>
          <a:ext cx="262599" cy="271984"/>
        </a:xfrm>
        <a:prstGeom prst="rect">
          <a:avLst/>
        </a:prstGeom>
      </xdr:spPr>
    </xdr:pic>
    <xdr:clientData/>
  </xdr:twoCellAnchor>
  <xdr:twoCellAnchor editAs="oneCell">
    <xdr:from>
      <xdr:col>0</xdr:col>
      <xdr:colOff>308873</xdr:colOff>
      <xdr:row>12</xdr:row>
      <xdr:rowOff>9742</xdr:rowOff>
    </xdr:from>
    <xdr:to>
      <xdr:col>0</xdr:col>
      <xdr:colOff>692505</xdr:colOff>
      <xdr:row>13</xdr:row>
      <xdr:rowOff>107242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95742"/>
          <a:ext cx="383632" cy="288000"/>
        </a:xfrm>
        <a:prstGeom prst="rect">
          <a:avLst/>
        </a:prstGeom>
      </xdr:spPr>
    </xdr:pic>
    <xdr:clientData/>
  </xdr:twoCellAnchor>
  <xdr:twoCellAnchor editAs="oneCell">
    <xdr:from>
      <xdr:col>0</xdr:col>
      <xdr:colOff>38961</xdr:colOff>
      <xdr:row>12</xdr:row>
      <xdr:rowOff>9742</xdr:rowOff>
    </xdr:from>
    <xdr:to>
      <xdr:col>0</xdr:col>
      <xdr:colOff>271849</xdr:colOff>
      <xdr:row>13</xdr:row>
      <xdr:rowOff>107242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95742"/>
          <a:ext cx="232888" cy="288000"/>
        </a:xfrm>
        <a:prstGeom prst="rect">
          <a:avLst/>
        </a:prstGeom>
      </xdr:spPr>
    </xdr:pic>
    <xdr:clientData/>
  </xdr:twoCellAnchor>
  <xdr:twoCellAnchor editAs="oneCell">
    <xdr:from>
      <xdr:col>0</xdr:col>
      <xdr:colOff>729529</xdr:colOff>
      <xdr:row>12</xdr:row>
      <xdr:rowOff>9742</xdr:rowOff>
    </xdr:from>
    <xdr:to>
      <xdr:col>0</xdr:col>
      <xdr:colOff>945529</xdr:colOff>
      <xdr:row>13</xdr:row>
      <xdr:rowOff>107242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95742"/>
          <a:ext cx="216000" cy="288000"/>
        </a:xfrm>
        <a:prstGeom prst="rect">
          <a:avLst/>
        </a:prstGeom>
      </xdr:spPr>
    </xdr:pic>
    <xdr:clientData/>
  </xdr:twoCellAnchor>
  <xdr:twoCellAnchor editAs="oneCell">
    <xdr:from>
      <xdr:col>0</xdr:col>
      <xdr:colOff>1148292</xdr:colOff>
      <xdr:row>12</xdr:row>
      <xdr:rowOff>45742</xdr:rowOff>
    </xdr:from>
    <xdr:to>
      <xdr:col>0</xdr:col>
      <xdr:colOff>1562076</xdr:colOff>
      <xdr:row>13</xdr:row>
      <xdr:rowOff>107242</xdr:rowOff>
    </xdr:to>
    <xdr:pic>
      <xdr:nvPicPr>
        <xdr:cNvPr id="8" name="Imagen 7"/>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331742"/>
          <a:ext cx="413784" cy="252000"/>
        </a:xfrm>
        <a:prstGeom prst="rect">
          <a:avLst/>
        </a:prstGeom>
      </xdr:spPr>
    </xdr:pic>
    <xdr:clientData/>
  </xdr:twoCellAnchor>
  <xdr:twoCellAnchor editAs="oneCell">
    <xdr:from>
      <xdr:col>0</xdr:col>
      <xdr:colOff>905742</xdr:colOff>
      <xdr:row>12</xdr:row>
      <xdr:rowOff>9742</xdr:rowOff>
    </xdr:from>
    <xdr:to>
      <xdr:col>0</xdr:col>
      <xdr:colOff>1121742</xdr:colOff>
      <xdr:row>13</xdr:row>
      <xdr:rowOff>107242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95742"/>
          <a:ext cx="216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870"/>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9" totalsRowCount="1" headerRowDxfId="126" dataDxfId="125" totalsRowDxfId="124">
  <autoFilter ref="A15:T16"/>
  <sortState ref="A16:T18">
    <sortCondition descending="1" ref="G15"/>
  </sortState>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totalsRowFunction="min" dataDxfId="109" totalsRowDxfId="31">
      <calculatedColumnFormula>IFERROR(INDEX(tbl_hojascb_estado_hoy[inicio_refrescado],tbl_HojasCB[[#This Row],[Coincidir]]),"")</calculatedColumnFormula>
    </tableColumn>
    <tableColumn id="16" name="REFRESCADO_FIN" totalsRowFunction="max"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20.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E26" sqref="E26"/>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43238</v>
      </c>
      <c r="J4" s="32"/>
      <c r="K4" s="32"/>
      <c r="O4" s="35"/>
    </row>
    <row r="5" spans="1:20" ht="15" customHeight="1" x14ac:dyDescent="0.35">
      <c r="A5" s="36"/>
      <c r="B5" s="37"/>
      <c r="E5" s="37"/>
      <c r="F5" s="37"/>
      <c r="G5" s="77" t="s">
        <v>299</v>
      </c>
      <c r="H5" s="54"/>
      <c r="I5" s="62">
        <f>DURACIONREFRESCADO</f>
        <v>6.435185183363501E-3</v>
      </c>
    </row>
    <row r="6" spans="1:20" ht="15" customHeight="1" x14ac:dyDescent="0.3">
      <c r="A6" s="38"/>
      <c r="B6" s="32"/>
      <c r="C6" s="32"/>
      <c r="D6" s="32"/>
      <c r="E6" s="32"/>
      <c r="F6" s="32"/>
      <c r="G6" s="72" t="s">
        <v>62</v>
      </c>
      <c r="H6" s="56"/>
      <c r="I6" s="63">
        <v>43235</v>
      </c>
    </row>
    <row r="7" spans="1:20" ht="15" customHeight="1" x14ac:dyDescent="0.25">
      <c r="A7" s="32"/>
      <c r="B7" s="32"/>
      <c r="C7" s="32"/>
      <c r="D7" s="32"/>
      <c r="E7" s="32"/>
      <c r="F7" s="32"/>
      <c r="G7" s="73" t="s">
        <v>63</v>
      </c>
      <c r="H7" s="54"/>
      <c r="I7" s="64">
        <v>43235</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43229</v>
      </c>
    </row>
    <row r="11" spans="1:20" ht="15" customHeight="1" x14ac:dyDescent="0.25">
      <c r="A11" s="43"/>
      <c r="B11" s="32" t="s">
        <v>303</v>
      </c>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166</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0">
        <f ca="1">IFERROR(COUNTA(INDIRECT("Alertas["&amp;tbl_HojasCB[[#This Row],[HOJAS]]&amp;"]")),0)</f>
        <v>7</v>
      </c>
      <c r="C16" s="46">
        <f>IFERROR(INDEX(tbl_hojascb_estado_hoy[costo_buffer],tbl_HojasCB[[#This Row],[Coincidir]]),"")</f>
        <v>108068.39</v>
      </c>
      <c r="D16" s="46">
        <f>IFERROR(INDEX(tbl_hojascb_estado_hoy[costo_fisico],tbl_HojasCB[[#This Row],[Coincidir]]),"")</f>
        <v>44589.83</v>
      </c>
      <c r="E16" s="46">
        <f>IFERROR(INDEX(tbl_hojascb_estado_hoy[costo_transito],tbl_HojasCB[[#This Row],[Coincidir]]),"")</f>
        <v>25605.119999999999</v>
      </c>
      <c r="F16" s="46">
        <f>IFERROR(INDEX(tbl_hojascb_estado_hoy[costo_comprometido],tbl_HojasCB[[#This Row],[Coincidir]]),"")</f>
        <v>0</v>
      </c>
      <c r="G16" s="46">
        <f>IFERROR(INDEX(tbl_hojascb_estado_hoy[costo_backorder],tbl_HojasCB[[#This Row],[Coincidir]]),"")</f>
        <v>32288.959999999999</v>
      </c>
      <c r="H16" s="46">
        <f>IFERROR(INDEX(tbl_hojascb_estado_hoy[costo_proyectado],tbl_HojasCB[[#This Row],[Coincidir]]),"")</f>
        <v>102483.91</v>
      </c>
      <c r="I16" s="46">
        <f>IFERROR(INDEX(tbl_hojascb_estado_hoy[costo_total],tbl_HojasCB[[#This Row],[Coincidir]]),"")</f>
        <v>70194.95</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43237.484907407408</v>
      </c>
      <c r="P16" s="49">
        <f>IFERROR(INDEX(tbl_hojascb_estado_hoy[fin_refrescado],tbl_HojasCB[[#This Row],[Coincidir]]),"")</f>
        <v>43237.486157407409</v>
      </c>
      <c r="Q16" s="78">
        <f>IFERROR(tbl_HojasCB[[#This Row],[REFRESCADO_FIN]]-tbl_HojasCB[[#This Row],[REFRESCADO_INI]],"")</f>
        <v>1.2500000011641532E-3</v>
      </c>
      <c r="R16" s="49">
        <f>IFERROR(INDEX(tbl_hojascb_estado_hoy[guardado],tbl_HojasCB[[#This Row],[Coincidir]]),"")</f>
        <v>43237.492048611108</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5</v>
      </c>
      <c r="C17" s="46">
        <f>IFERROR(INDEX(tbl_hojascb_estado_hoy[costo_buffer],tbl_HojasCB[[#This Row],[Coincidir]]),"")</f>
        <v>887309.09</v>
      </c>
      <c r="D17" s="46">
        <f>IFERROR(INDEX(tbl_hojascb_estado_hoy[costo_fisico],tbl_HojasCB[[#This Row],[Coincidir]]),"")</f>
        <v>290972.53000000003</v>
      </c>
      <c r="E17" s="46">
        <f>IFERROR(INDEX(tbl_hojascb_estado_hoy[costo_transito],tbl_HojasCB[[#This Row],[Coincidir]]),"")</f>
        <v>399712.76</v>
      </c>
      <c r="F17" s="46">
        <f>IFERROR(INDEX(tbl_hojascb_estado_hoy[costo_comprometido],tbl_HojasCB[[#This Row],[Coincidir]]),"")</f>
        <v>0</v>
      </c>
      <c r="G17" s="46">
        <f>IFERROR(INDEX(tbl_hojascb_estado_hoy[costo_backorder],tbl_HojasCB[[#This Row],[Coincidir]]),"")</f>
        <v>1425.32</v>
      </c>
      <c r="H17" s="46">
        <f>IFERROR(INDEX(tbl_hojascb_estado_hoy[costo_proyectado],tbl_HojasCB[[#This Row],[Coincidir]]),"")</f>
        <v>692110.61</v>
      </c>
      <c r="I17" s="46">
        <f>IFERROR(INDEX(tbl_hojascb_estado_hoy[costo_total],tbl_HojasCB[[#This Row],[Coincidir]]),"")</f>
        <v>690685.29</v>
      </c>
      <c r="J17" s="47">
        <f>IFERROR(INDEX(tbl_hojascb_estado_hoy[sku_totales],tbl_HojasCB[[#This Row],[Coincidir]]),"")</f>
        <v>58</v>
      </c>
      <c r="K17" s="47">
        <f>IFERROR(INDEX(tbl_hojascb_estado_hoy[sku_buffer],tbl_HojasCB[[#This Row],[Coincidir]]),"")</f>
        <v>45</v>
      </c>
      <c r="L17" s="47">
        <f>IFERROR(INDEX(tbl_hojascb_estado_hoy[dias_periodo],tbl_HojasCB[[#This Row],[Coincidir]]),"")</f>
        <v>228</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43237.484907407408</v>
      </c>
      <c r="P17" s="49">
        <f>IFERROR(INDEX(tbl_hojascb_estado_hoy[fin_refrescado],tbl_HojasCB[[#This Row],[Coincidir]]),"")</f>
        <v>43237.486157407409</v>
      </c>
      <c r="Q17" s="78">
        <f>IFERROR(tbl_HojasCB[[#This Row],[REFRESCADO_FIN]]-tbl_HojasCB[[#This Row],[REFRESCADO_INI]],"")</f>
        <v>1.2500000011641532E-3</v>
      </c>
      <c r="R17" s="49">
        <f>IFERROR(INDEX(tbl_hojascb_estado_hoy[guardado],tbl_HojasCB[[#This Row],[Coincidir]]),"")</f>
        <v>43238.00372685185</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35" t="s">
        <v>300</v>
      </c>
      <c r="B18" s="60">
        <f ca="1">IFERROR(COUNTA(INDIRECT("Alertas["&amp;tbl_HojasCB[[#This Row],[HOJAS]]&amp;"]")),0)</f>
        <v>6</v>
      </c>
      <c r="C18" s="46">
        <f>IFERROR(INDEX(tbl_hojascb_estado_hoy[costo_buffer],tbl_HojasCB[[#This Row],[Coincidir]]),"")</f>
        <v>97900.01</v>
      </c>
      <c r="D18" s="46">
        <f>IFERROR(INDEX(tbl_hojascb_estado_hoy[costo_fisico],tbl_HojasCB[[#This Row],[Coincidir]]),"")</f>
        <v>120353.16</v>
      </c>
      <c r="E18" s="46">
        <f>IFERROR(INDEX(tbl_hojascb_estado_hoy[costo_transito],tbl_HojasCB[[#This Row],[Coincidir]]),"")</f>
        <v>8221.1</v>
      </c>
      <c r="F18" s="46">
        <f>IFERROR(INDEX(tbl_hojascb_estado_hoy[costo_comprometido],tbl_HojasCB[[#This Row],[Coincidir]]),"")</f>
        <v>0</v>
      </c>
      <c r="G18" s="46">
        <f>IFERROR(INDEX(tbl_hojascb_estado_hoy[costo_backorder],tbl_HojasCB[[#This Row],[Coincidir]]),"")</f>
        <v>2012.8</v>
      </c>
      <c r="H18" s="46">
        <f>IFERROR(INDEX(tbl_hojascb_estado_hoy[costo_proyectado],tbl_HojasCB[[#This Row],[Coincidir]]),"")</f>
        <v>130587.06</v>
      </c>
      <c r="I18" s="46">
        <f>IFERROR(INDEX(tbl_hojascb_estado_hoy[costo_total],tbl_HojasCB[[#This Row],[Coincidir]]),"")</f>
        <v>128574.26</v>
      </c>
      <c r="J18" s="47">
        <f>IFERROR(INDEX(tbl_hojascb_estado_hoy[sku_totales],tbl_HojasCB[[#This Row],[Coincidir]]),"")</f>
        <v>1282</v>
      </c>
      <c r="K18" s="47">
        <f>IFERROR(INDEX(tbl_hojascb_estado_hoy[sku_buffer],tbl_HojasCB[[#This Row],[Coincidir]]),"")</f>
        <v>1171</v>
      </c>
      <c r="L18" s="47">
        <f>IFERROR(INDEX(tbl_hojascb_estado_hoy[dias_periodo],tbl_HojasCB[[#This Row],[Coincidir]]),"")</f>
        <v>220</v>
      </c>
      <c r="M18" s="47">
        <f>IFERROR(INDEX(tbl_hojascb_estado_hoy[duplicados],tbl_HojasCB[[#This Row],[Coincidir]]),"")</f>
        <v>0</v>
      </c>
      <c r="N18" s="48" t="str">
        <f>IFERROR(INDEX(tbl_hojascb_estado_hoy[refrescada],tbl_HojasCB[[#This Row],[Coincidir]]),"")&amp;" - "&amp;IFERROR(INDEX(tbl_hojascb_estado_hoy[base_datos],tbl_HojasCB[[#This Row],[Coincidir]]),"")</f>
        <v>1 - 1</v>
      </c>
      <c r="O18" s="49">
        <f>IFERROR(INDEX(tbl_hojascb_estado_hoy[inicio_refrescado],tbl_HojasCB[[#This Row],[Coincidir]]),"")</f>
        <v>43237.484907407408</v>
      </c>
      <c r="P18" s="49">
        <f>IFERROR(INDEX(tbl_hojascb_estado_hoy[fin_refrescado],tbl_HojasCB[[#This Row],[Coincidir]]),"")</f>
        <v>43237.486157407409</v>
      </c>
      <c r="Q18" s="78">
        <f>IFERROR(tbl_HojasCB[[#This Row],[REFRESCADO_FIN]]-tbl_HojasCB[[#This Row],[REFRESCADO_INI]],"")</f>
        <v>1.2500000011641532E-3</v>
      </c>
      <c r="R18" s="49">
        <f>IFERROR(INDEX(tbl_hojascb_estado_hoy[guardado],tbl_HojasCB[[#This Row],[Coincidir]]),"")</f>
        <v>43237.874016203707</v>
      </c>
      <c r="S18" s="50" t="str">
        <f>IF(IFERROR(INDEX(tbl_hojascb_estado_hoy[razon],tbl_HojasCB[[#This Row],[Coincidir]]),"")=0,"",IFERROR(INDEX(tbl_hojascb_estado_hoy[razon],tbl_HojasCB[[#This Row],[Coincidir]]),""))</f>
        <v/>
      </c>
      <c r="T18" s="48">
        <f>MATCH(EMP&amp;tbl_HojasCB[[#This Row],[HOJAS]],tbl_hojascb_estado_hoy[empresa_hoja],0)</f>
        <v>5</v>
      </c>
    </row>
    <row r="19" spans="1:20" ht="15" customHeight="1" x14ac:dyDescent="0.25">
      <c r="A19" s="51" t="str">
        <f>"Total Hojas:  "&amp;SUBTOTAL(103,tbl_HojasCB[HOJAS])</f>
        <v>Total Hojas:  3</v>
      </c>
      <c r="B19" s="51">
        <f ca="1">SUBTOTAL(109,tbl_HojasCB[ALERTAS])</f>
        <v>18</v>
      </c>
      <c r="C19" s="46">
        <f>SUBTOTAL(109,tbl_HojasCB[COSTO BUFFER])</f>
        <v>1093277.49</v>
      </c>
      <c r="D19" s="46">
        <f>SUBTOTAL(109,tbl_HojasCB[COSTO FÍSICO])</f>
        <v>455915.52000000002</v>
      </c>
      <c r="E19" s="46">
        <f>SUBTOTAL(109,tbl_HojasCB[COSTO TRÁNSITO])</f>
        <v>433538.98</v>
      </c>
      <c r="F19" s="46">
        <f>SUBTOTAL(109,tbl_HojasCB[COSTO COMPROM])</f>
        <v>0</v>
      </c>
      <c r="G19" s="46">
        <f>SUBTOTAL(109,tbl_HojasCB[COSTO BACKORDER])</f>
        <v>35727.08</v>
      </c>
      <c r="H19" s="46">
        <f>SUBTOTAL(109,tbl_HojasCB[COSTO PROYECTADO])</f>
        <v>925181.58000000007</v>
      </c>
      <c r="I19" s="46">
        <f>SUBTOTAL(109,tbl_HojasCB[COSTO TOTAL])</f>
        <v>889454.5</v>
      </c>
      <c r="J19" s="52">
        <f>SUBTOTAL(109,tbl_HojasCB[ÍTEMS TOTALES])</f>
        <v>1420</v>
      </c>
      <c r="K19" s="52">
        <f>SUBTOTAL(109,tbl_HojasCB[ÍTEMS CON BUFFER])</f>
        <v>1279</v>
      </c>
      <c r="L19" s="52">
        <f>SUBTOTAL(109,tbl_HojasCB[DÍAS PERÍODO])</f>
        <v>622</v>
      </c>
      <c r="M19" s="52">
        <f>SUBTOTAL(109,tbl_HojasCB[DUPLICADOS])</f>
        <v>0</v>
      </c>
      <c r="N19" s="51"/>
      <c r="O19" s="49">
        <f>SUBTOTAL(105,tbl_HojasCB[REFRESCADO_INI])</f>
        <v>43237.484907407408</v>
      </c>
      <c r="P19" s="49">
        <f>SUBTOTAL(104,tbl_HojasCB[REFRESCADO_FIN])</f>
        <v>43237.486157407409</v>
      </c>
      <c r="Q19" s="78">
        <f>SUBTOTAL(109,tbl_HojasCB[DURACIÓN])</f>
        <v>3.7500000034924597E-3</v>
      </c>
      <c r="R19" s="51"/>
      <c r="T19" s="51"/>
    </row>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algorithmName="SHA-512" hashValue="u4FD9XlVRolteKr409m+14npwyXAhK66yG/N4AXfwK2xThG8laJe3RnmS6w8nHCE04NQeEXP2w5jGHszkcC3NQ==" saltValue="ce36fbyjk84vz+X9e7S/YA=="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8">
    <cfRule type="expression" dxfId="19" priority="1" stopIfTrue="1">
      <formula>OR(TRUNC($P16)&lt;TODAY(),$N16&lt;&gt;"1 - 1")</formula>
    </cfRule>
    <cfRule type="expression" dxfId="18" priority="3116" stopIfTrue="1">
      <formula>$M16&gt;0</formula>
    </cfRule>
  </conditionalFormatting>
  <conditionalFormatting sqref="B16:B18">
    <cfRule type="colorScale" priority="3117">
      <colorScale>
        <cfvo type="num" val="0"/>
        <cfvo type="percentile" val="50"/>
        <cfvo type="num" val="6"/>
        <color rgb="FF63BE7B"/>
        <color rgb="FFFFEB84"/>
        <color rgb="FFF8696B"/>
      </colorScale>
    </cfRule>
  </conditionalFormatting>
  <conditionalFormatting sqref="C16:C18">
    <cfRule type="dataBar" priority="3741">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8">
    <cfRule type="dataBar" priority="3742">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8">
    <cfRule type="dataBar" priority="3743">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8">
    <cfRule type="dataBar" priority="3744">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8">
    <cfRule type="dataBar" priority="3745">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8">
    <cfRule type="dataBar" priority="3746">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8">
    <cfRule type="dataBar" priority="3747">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8">
    <cfRule type="dataBar" priority="3748">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8">
    <cfRule type="dataBar" priority="3749">
      <dataBar>
        <cfvo type="min"/>
        <cfvo type="max"/>
        <color rgb="FFFFB628"/>
      </dataBar>
      <extLst>
        <ext xmlns:x14="http://schemas.microsoft.com/office/spreadsheetml/2009/9/main" uri="{B025F937-C7B1-47D3-B67F-A62EFF666E3E}">
          <x14:id>{BC002F9D-636E-47D2-840E-33D6699C67B8}</x14:id>
        </ext>
      </extLst>
    </cfRule>
  </conditionalFormatting>
  <dataValidations disablePrompts="1"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190500</xdr:colOff>
                <xdr:row>9</xdr:row>
                <xdr:rowOff>9525</xdr:rowOff>
              </from>
              <to>
                <xdr:col>4</xdr:col>
                <xdr:colOff>533400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1061" r:id="rId18" name="cmd_Refrescar_Alertas">
          <controlPr defaultSize="0" autoLine="0" r:id="rId19">
            <anchor>
              <from>
                <xdr:col>4</xdr:col>
                <xdr:colOff>523875</xdr:colOff>
                <xdr:row>9</xdr:row>
                <xdr:rowOff>9525</xdr:rowOff>
              </from>
              <to>
                <xdr:col>4</xdr:col>
                <xdr:colOff>819150</xdr:colOff>
                <xdr:row>9</xdr:row>
                <xdr:rowOff>180975</xdr:rowOff>
              </to>
            </anchor>
          </controlPr>
        </control>
      </mc:Choice>
      <mc:Fallback>
        <control shapeId="1061" r:id="rId18" name="cmd_Refrescar_Alertas"/>
      </mc:Fallback>
    </mc:AlternateContent>
    <mc:AlternateContent xmlns:mc="http://schemas.openxmlformats.org/markup-compatibility/2006">
      <mc:Choice Requires="x14">
        <control shapeId="97019" r:id="rId20" name="cmdTransferenciasActivas">
          <controlPr defaultSize="0" autoLine="0" r:id="rId21">
            <anchor>
              <from>
                <xdr:col>2</xdr:col>
                <xdr:colOff>276225</xdr:colOff>
                <xdr:row>5</xdr:row>
                <xdr:rowOff>123825</xdr:rowOff>
              </from>
              <to>
                <xdr:col>2</xdr:col>
                <xdr:colOff>628650</xdr:colOff>
                <xdr:row>7</xdr:row>
                <xdr:rowOff>28575</xdr:rowOff>
              </to>
            </anchor>
          </controlPr>
        </control>
      </mc:Choice>
      <mc:Fallback>
        <control shapeId="97019" r:id="rId20" name="cmdTransferenciasActivas"/>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C16:C18</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D16:D18</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E16:E18</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G16:G18</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H16:H18</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I16:I18</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J16:J18</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K16:K18</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43237.484907407408</v>
      </c>
      <c r="F2" s="24">
        <v>43237.486157407409</v>
      </c>
      <c r="G2" s="24">
        <v>43237.492048611108</v>
      </c>
      <c r="I2">
        <v>174</v>
      </c>
      <c r="J2">
        <v>0</v>
      </c>
      <c r="K2">
        <v>80</v>
      </c>
      <c r="L2">
        <v>63</v>
      </c>
      <c r="M2">
        <v>108068.39</v>
      </c>
      <c r="N2">
        <v>44589.83</v>
      </c>
      <c r="O2">
        <v>25605.119999999999</v>
      </c>
      <c r="P2">
        <v>0</v>
      </c>
      <c r="Q2">
        <v>32288.959999999999</v>
      </c>
      <c r="R2">
        <v>102483.91</v>
      </c>
      <c r="S2">
        <v>70194.95</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43237.484907407408</v>
      </c>
      <c r="F4" s="24">
        <v>43237.486157407409</v>
      </c>
      <c r="G4" s="24">
        <v>43237.490532407406</v>
      </c>
      <c r="I4">
        <v>228</v>
      </c>
      <c r="J4">
        <v>0</v>
      </c>
      <c r="K4">
        <v>57</v>
      </c>
      <c r="L4">
        <v>45</v>
      </c>
      <c r="M4">
        <v>887483.71</v>
      </c>
      <c r="N4">
        <v>289590.53000000003</v>
      </c>
      <c r="O4">
        <v>209520.14</v>
      </c>
      <c r="P4">
        <v>0</v>
      </c>
      <c r="Q4">
        <v>1426.24</v>
      </c>
      <c r="R4">
        <v>500536.91</v>
      </c>
      <c r="S4">
        <v>499110.67</v>
      </c>
      <c r="T4" s="2" t="str">
        <f>tbl_hojascb_estado_hoy[[#This Row],[empresa]]&amp;tbl_hojascb_estado_hoy[[#This Row],[hoja_cb]]</f>
        <v>AGROTAControl Buffers.xlsm</v>
      </c>
    </row>
    <row r="5" spans="1:20" x14ac:dyDescent="0.25">
      <c r="A5" t="s">
        <v>0</v>
      </c>
      <c r="B5" t="s">
        <v>250</v>
      </c>
      <c r="C5">
        <v>1</v>
      </c>
      <c r="D5">
        <v>1</v>
      </c>
      <c r="E5" s="24">
        <v>43237.484907407408</v>
      </c>
      <c r="F5" s="24">
        <v>43237.486157407409</v>
      </c>
      <c r="G5" s="24">
        <v>43238.00372685185</v>
      </c>
      <c r="I5">
        <v>228</v>
      </c>
      <c r="J5">
        <v>0</v>
      </c>
      <c r="K5">
        <v>58</v>
      </c>
      <c r="L5">
        <v>45</v>
      </c>
      <c r="M5">
        <v>887309.09</v>
      </c>
      <c r="N5">
        <v>290972.53000000003</v>
      </c>
      <c r="O5">
        <v>399712.76</v>
      </c>
      <c r="P5">
        <v>0</v>
      </c>
      <c r="Q5">
        <v>1425.32</v>
      </c>
      <c r="R5">
        <v>692110.61</v>
      </c>
      <c r="S5">
        <v>690685.29</v>
      </c>
      <c r="T5" s="2" t="str">
        <f>tbl_hojascb_estado_hoy[[#This Row],[empresa]]&amp;tbl_hojascb_estado_hoy[[#This Row],[hoja_cb]]</f>
        <v>AGROTAMaquinas ECHO - SHINDAIWA.xlsm</v>
      </c>
    </row>
    <row r="6" spans="1:20" x14ac:dyDescent="0.25">
      <c r="A6" t="s">
        <v>0</v>
      </c>
      <c r="B6" t="s">
        <v>300</v>
      </c>
      <c r="C6">
        <v>1</v>
      </c>
      <c r="D6">
        <v>1</v>
      </c>
      <c r="E6" s="24">
        <v>43237.484907407408</v>
      </c>
      <c r="F6" s="24">
        <v>43237.486157407409</v>
      </c>
      <c r="G6" s="24">
        <v>43237.874016203707</v>
      </c>
      <c r="I6">
        <v>220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738">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-1386</v>
      </c>
    </row>
    <row r="4" spans="1:3" x14ac:dyDescent="0.25">
      <c r="A4" s="1" t="s">
        <v>75</v>
      </c>
      <c r="B4" s="16">
        <v>41866</v>
      </c>
      <c r="C4" s="7">
        <f ca="1">Tabla_DIAS_RESTANTES[[#This Row],[FIN PERÍODO]]-TODAY()</f>
        <v>-1372</v>
      </c>
    </row>
    <row r="5" spans="1:3" x14ac:dyDescent="0.25">
      <c r="A5" s="1" t="s">
        <v>77</v>
      </c>
      <c r="B5" s="16">
        <v>41866</v>
      </c>
      <c r="C5" s="7">
        <f ca="1">Tabla_DIAS_RESTANTES[[#This Row],[FIN PERÍODO]]-TODAY()</f>
        <v>-1372</v>
      </c>
    </row>
    <row r="6" spans="1:3" x14ac:dyDescent="0.25">
      <c r="A6" s="1" t="s">
        <v>72</v>
      </c>
      <c r="B6" s="16">
        <v>41873</v>
      </c>
      <c r="C6" s="7">
        <f ca="1">Tabla_DIAS_RESTANTES[[#This Row],[FIN PERÍODO]]-TODAY()</f>
        <v>-1365</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row r="4" spans="1:18" x14ac:dyDescent="0.25">
      <c r="P4" t="s">
        <v>300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302</v>
      </c>
    </row>
    <row r="3" spans="1:3" x14ac:dyDescent="0.25">
      <c r="A3" t="s">
        <v>0</v>
      </c>
      <c r="B3" t="s">
        <v>250</v>
      </c>
      <c r="C3" t="s">
        <v>251</v>
      </c>
    </row>
    <row r="4" spans="1:3" x14ac:dyDescent="0.25">
      <c r="A4" t="s">
        <v>0</v>
      </c>
      <c r="B4" t="s">
        <v>300</v>
      </c>
      <c r="C4"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812DE2-BDEC-4B58-B2DB-0C8135958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2018-05-18T15:48:25Z</dcterms:modified>
</cp:coreProperties>
</file>