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8.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CENTROCONTROL!$A$12</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T2" i="36" l="1"/>
  <c r="T3" i="36"/>
  <c r="T4" i="36"/>
  <c r="T5" i="36"/>
  <c r="T6" i="36"/>
  <c r="T16" i="1"/>
  <c r="P16" i="1" s="1"/>
  <c r="T17" i="1"/>
  <c r="C17" i="1" s="1"/>
  <c r="B16" i="1"/>
  <c r="B17" i="1"/>
  <c r="S16" i="1" l="1"/>
  <c r="O16" i="1"/>
  <c r="Q16" i="1" s="1"/>
  <c r="M16" i="1"/>
  <c r="K16" i="1"/>
  <c r="I16" i="1"/>
  <c r="G16" i="1"/>
  <c r="E16" i="1"/>
  <c r="C16" i="1"/>
  <c r="R17" i="1"/>
  <c r="P17" i="1"/>
  <c r="N17" i="1"/>
  <c r="L17" i="1"/>
  <c r="J17" i="1"/>
  <c r="H17" i="1"/>
  <c r="F17" i="1"/>
  <c r="D17" i="1"/>
  <c r="N16" i="1"/>
  <c r="L16" i="1"/>
  <c r="J16" i="1"/>
  <c r="H16" i="1"/>
  <c r="F16" i="1"/>
  <c r="D16" i="1"/>
  <c r="R16" i="1"/>
  <c r="S17" i="1"/>
  <c r="O17" i="1"/>
  <c r="M17" i="1"/>
  <c r="K17" i="1"/>
  <c r="I17" i="1"/>
  <c r="G17" i="1"/>
  <c r="E17" i="1"/>
  <c r="C2" i="24"/>
  <c r="C3" i="24"/>
  <c r="C4" i="24"/>
  <c r="C5" i="24"/>
  <c r="C6" i="24"/>
  <c r="Q17" i="1" l="1"/>
  <c r="C5" i="30"/>
  <c r="G5" i="30"/>
  <c r="H5" i="30"/>
  <c r="K5" i="30"/>
  <c r="L5" i="30"/>
  <c r="M5" i="30"/>
  <c r="N5" i="30"/>
  <c r="O5" i="30"/>
  <c r="P5" i="30"/>
  <c r="Q5" i="30"/>
  <c r="I2" i="30"/>
  <c r="I5" i="30" s="1"/>
  <c r="I3" i="30"/>
  <c r="I4" i="30"/>
  <c r="P18" i="1" l="1"/>
  <c r="O18" i="1"/>
  <c r="B18" i="1"/>
  <c r="I3" i="1"/>
  <c r="A18" i="1" l="1"/>
  <c r="J18" i="1" l="1"/>
  <c r="I18" i="1"/>
  <c r="K18" i="1"/>
  <c r="M18" i="1"/>
  <c r="D18" i="1"/>
  <c r="L18" i="1"/>
  <c r="C18" i="1"/>
  <c r="Q18" i="1" l="1"/>
  <c r="H18" i="1"/>
  <c r="G18" i="1"/>
  <c r="F18" i="1"/>
  <c r="E18"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 ref="A15" authorId="0" shapeId="0">
      <text>
        <r>
          <rPr>
            <b/>
            <sz val="9"/>
            <color indexed="81"/>
            <rFont val="Tahoma"/>
            <family val="2"/>
          </rPr>
          <t>RAMCAS:</t>
        </r>
        <r>
          <rPr>
            <sz val="9"/>
            <color indexed="81"/>
            <rFont val="Tahoma"/>
            <family val="2"/>
          </rPr>
          <t xml:space="preserve">
Nombre de las Hojas CB permitidas para el presente usuario. Para abrir una o más de ellas, hacer la selección de las celdas y presionar Ctrl + A.
El listado se refresca cuando se abre CCB o cuando se cambia de empresa o cuando se presiona Ctrl + S.</t>
        </r>
      </text>
    </comment>
    <comment ref="B15"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5"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5"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5"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5"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5"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5"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5" authorId="0" shapeId="0">
      <text>
        <r>
          <rPr>
            <b/>
            <sz val="9"/>
            <color indexed="81"/>
            <rFont val="Tahoma"/>
            <family val="2"/>
          </rPr>
          <t>RAMCAS:</t>
        </r>
        <r>
          <rPr>
            <sz val="9"/>
            <color indexed="81"/>
            <rFont val="Tahoma"/>
            <family val="2"/>
          </rPr>
          <t xml:space="preserve">
Es el COSTO FÍSICO + COSTO TRÁNSITO.</t>
        </r>
      </text>
    </comment>
    <comment ref="J15"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5"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5"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5"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5"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5"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5"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5" authorId="0" shapeId="0">
      <text>
        <r>
          <rPr>
            <b/>
            <sz val="9"/>
            <color indexed="81"/>
            <rFont val="Tahoma"/>
            <family val="2"/>
          </rPr>
          <t>RAMCAS:</t>
        </r>
        <r>
          <rPr>
            <sz val="9"/>
            <color indexed="81"/>
            <rFont val="Tahoma"/>
            <family val="2"/>
          </rPr>
          <t xml:space="preserve">
La duración del último refrescado de la presente Hoja CB.</t>
        </r>
      </text>
    </comment>
    <comment ref="R15"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5"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5"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<sst xmlns="http://schemas.openxmlformats.org/spreadsheetml/2006/main" count="597" uniqueCount="304">
  <si>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</si>
  <si>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</si>
  <si>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</si>
  <si>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</si>
  <si>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</si>
  <si>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</si>
  <si>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</si>
  <si>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</si>
  <si>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</si>
  <si>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</si>
  <si>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</si>
  <si>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</si>
  <si>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</si>
  <si>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</si>
  <si>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</si>
  <si>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</si>
  <si>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</si>
  <si>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</si>
  <si>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</si>
  <si>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</si>
  <si>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</si>
  <si>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</si>
  <si>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</si>
  <si>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</si>
  <si>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</si>
  <si>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</si>
  <si>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</si>
  <si>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</si>
  <si>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</si>
  <si>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</si>
  <si>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</si>
  <si>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</si>
  <si>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</si>
  <si>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</si>
  <si>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</si>
  <si>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</si>
  <si>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</si>
  <si>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</si>
  <si>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</si>
  <si>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</si>
  <si>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</si>
  <si>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</si>
  <si>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</si>
  <si>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</si>
  <si>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</si>
  <si>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</si>
  <si>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</si>
  <si>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</si>
  <si>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</si>
  <si>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</si>
  <si>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</si>
  <si>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</si>
  <si>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</si>
  <si>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</si>
  <si>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</si>
  <si>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</si>
  <si>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</si>
  <si>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</si>
  <si>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</si>
  <si>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</si>
  <si>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</si>
  <si>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</si>
  <si>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</si>
  <si>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</si>
  <si>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</si>
  <si>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</si>
  <si>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</si>
  <si>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</si>
  <si>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</si>
  <si>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</si>
  <si>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</si>
  <si>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</si>
  <si>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</si>
  <si>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</si>
  <si>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</si>
  <si>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</si>
  <si>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</si>
  <si>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</si>
  <si>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</si>
  <si>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</si>
  <si>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</si>
  <si>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</si>
  <si>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</si>
  <si>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</si>
  <si>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</si>
  <si>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</si>
  <si>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</si>
  <si>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</si>
  <si>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</si>
  <si>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</si>
  <si>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</si>
  <si>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</si>
  <si>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</si>
  <si>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</si>
  <si>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</si>
  <si>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</si>
  <si>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</si>
  <si>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</si>
  <si>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</si>
  <si>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</si>
  <si>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</si>
  <si>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</si>
  <si>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</si>
  <si>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</si>
  <si>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</si>
  <si>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</si>
  <si>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</si>
  <si>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</si>
  <si>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</si>
  <si>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</si>
  <si>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</si>
  <si>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</si>
  <si>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</si>
  <si>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</si>
  <si>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</si>
  <si>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</si>
  <si>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</si>
  <si>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</si>
  <si>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</si>
  <si>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</si>
  <si>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</si>
  <si>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</si>
  <si>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</si>
  <si>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</si>
  <si>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</si>
  <si>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</si>
  <si>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</si>
  <si>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</si>
  <si>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</si>
  <si>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</si>
  <si>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</si>
  <si>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</si>
  <si>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</si>
  <si>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</si>
  <si>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</si>
  <si>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</si>
  <si>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</si>
  <si>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</si>
  <si>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</si>
  <si>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</si>
  <si>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</si>
  <si>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</si>
  <si>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</si>
  <si>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</si>
  <si>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</si>
  <si>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</si>
  <si>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</si>
  <si>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</si>
  <si>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</si>
  <si>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</si>
  <si>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</si>
  <si>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</si>
  <si>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</si>
  <si>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</si>
  <si>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</si>
  <si>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</si>
  <si>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</si>
  <si>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</si>
  <si>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</si>
  <si>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</si>
  <si>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</si>
  <si>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</si>
  <si>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</si>
  <si>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</si>
  <si>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</si>
  <si>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</si>
  <si>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</si>
  <si>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</si>
  <si>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</si>
  <si>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</si>
  <si>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</si>
  <si>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</si>
  <si>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</si>
  <si>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</si>
  <si>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</si>
  <si>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</si>
  <si>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</si>
  <si>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</si>
  <si>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</si>
  <si>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</si>
  <si>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</si>
  <si>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</si>
  <si>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</si>
  <si>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</si>
  <si>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</si>
  <si>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</si>
  <si>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</si>
  <si>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</si>
  <si>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</si>
  <si>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</si>
  <si>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</si>
  <si>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</si>
  <si>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</si>
  <si>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</si>
  <si>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</si>
  <si>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</si>
  <si>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</si>
  <si>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</si>
  <si>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</si>
  <si>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</si>
  <si>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</si>
  <si>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</si>
  <si>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</si>
  <si>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</si>
  <si>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</si>
  <si>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</si>
  <si>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</si>
  <si>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</si>
  <si>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</si>
  <si>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</si>
  <si>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</si>
  <si>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</si>
  <si>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</si>
  <si>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</si>
  <si>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</si>
  <si>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</si>
  <si>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</si>
  <si>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</si>
  <si>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</si>
  <si>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</si>
  <si>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</si>
  <si>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</si>
  <si>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</si>
  <si>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</si>
  <si>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</si>
  <si>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</si>
  <si>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</si>
  <si>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</si>
  <si>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</si>
  <si>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</si>
  <si>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</si>
  <si>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</si>
  <si>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</si>
  <si>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</si>
  <si>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</si>
  <si>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</si>
  <si>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</si>
  <si>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</si>
  <si>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</si>
  <si>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</si>
  <si>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</si>
  <si>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</si>
  <si>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</si>
  <si>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</si>
  <si>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</si>
  <si>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</si>
  <si>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</si>
  <si>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</si>
  <si>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</si>
  <si>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</si>
  <si>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</si>
  <si>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</si>
  <si>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</si>
  <si>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</si>
  <si>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</si>
  <si>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</si>
  <si>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</si>
  <si>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</si>
  <si>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</si>
  <si>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</si>
  <si>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</si>
  <si>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</si>
  <si>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</si>
  <si>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</si>
  <si>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</si>
  <si>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</si>
  <si>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</si>
  <si>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</si>
  <si>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</si>
  <si>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</si>
  <si>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</si>
  <si>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</si>
  <si>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</si>
  <si>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</si>
  <si>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</si>
  <si>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</si>
  <si>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</si>
  <si>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</si>
  <si>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</si>
  <si>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</si>
  <si>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</si>
  <si>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</si>
  <si>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</si>
  <si>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</si>
  <si>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</si>
  <si>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</si>
  <si>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</si>
  <si>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</si>
  <si>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</si>
  <si>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</si>
  <si>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</si>
  <si>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</si>
  <si>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</si>
  <si>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</si>
  <si>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</si>
  <si>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</si>
  <si>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</si>
  <si>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</si>
  <si>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</si>
  <si>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</si>
  <si>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</si>
  <si>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O:\Repuestos ECHO.xlsm</t>
  </si>
  <si>
    <t>O:\Accesorios.xlsm</t>
  </si>
  <si>
    <t>dir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</si>
</sst>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 numFmtId="172" formatCode="[h]&quot;h&quot;:mm&quot;m&quot;:ss&quot;s&quot;"/>
  </numFmts>
  <fonts count="29"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FFFF00"/>
      <name val="Calibri"/>
      <family val="2"/>
      <scheme val="minor"/>
    </font>
    <font>
      <b/>
      <sz val="13"/>
      <color rgb="FFFFFF00"/>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9">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70"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0" fontId="0" fillId="5" borderId="9" xfId="0" applyFont="1" applyFill="1" applyBorder="1"/>
    <xf numFmtId="0" fontId="0" fillId="5" borderId="8" xfId="0" applyFill="1" applyBorder="1" applyAlignment="1">
      <alignment horizontal="center" vertical="center"/>
    </xf>
    <xf numFmtId="0" fontId="24" fillId="6" borderId="0" xfId="0" applyFont="1" applyFill="1"/>
    <xf numFmtId="0" fontId="11" fillId="5" borderId="0" xfId="0" applyNumberFormat="1" applyFont="1" applyFill="1" applyAlignment="1">
      <alignment horizontal="center"/>
    </xf>
    <xf numFmtId="171" fontId="23" fillId="5" borderId="10" xfId="0" applyNumberFormat="1" applyFont="1" applyFill="1" applyBorder="1" applyAlignment="1" applyProtection="1">
      <alignment horizontal="center" vertical="center"/>
    </xf>
    <xf numFmtId="167" fontId="23" fillId="5" borderId="10" xfId="0" applyNumberFormat="1" applyFont="1" applyFill="1" applyBorder="1" applyAlignment="1" applyProtection="1">
      <alignment horizontal="center" vertical="center"/>
      <protection locked="0"/>
    </xf>
    <xf numFmtId="171" fontId="23" fillId="5" borderId="8" xfId="0" applyNumberFormat="1" applyFont="1" applyFill="1" applyBorder="1" applyAlignment="1">
      <alignment horizontal="center" vertical="center"/>
    </xf>
    <xf numFmtId="171" fontId="23" fillId="5" borderId="10" xfId="0" applyNumberFormat="1" applyFont="1" applyFill="1" applyBorder="1" applyAlignment="1">
      <alignment horizontal="center" vertical="center"/>
    </xf>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6" borderId="0" xfId="0" applyFont="1" applyFill="1" applyBorder="1"/>
    <xf numFmtId="0" fontId="27" fillId="5" borderId="2" xfId="0" applyFont="1" applyFill="1" applyBorder="1" applyAlignment="1">
      <alignment vertical="center"/>
    </xf>
    <xf numFmtId="0" fontId="27" fillId="5" borderId="6" xfId="0" applyFont="1" applyFill="1" applyBorder="1" applyAlignment="1">
      <alignment vertical="center"/>
    </xf>
    <xf numFmtId="0" fontId="26" fillId="5" borderId="2" xfId="0" applyFont="1" applyFill="1" applyBorder="1" applyAlignment="1">
      <alignment vertical="center"/>
    </xf>
    <xf numFmtId="0" fontId="26" fillId="5" borderId="6" xfId="0" applyFont="1" applyFill="1" applyBorder="1" applyAlignment="1">
      <alignment vertical="center"/>
    </xf>
    <xf numFmtId="0" fontId="28" fillId="5" borderId="2" xfId="0" applyFont="1" applyFill="1" applyBorder="1" applyAlignment="1">
      <alignment vertical="center"/>
    </xf>
    <xf numFmtId="0" fontId="28" fillId="5" borderId="6" xfId="0" applyFont="1" applyFill="1" applyBorder="1" applyAlignment="1">
      <alignment vertical="center"/>
    </xf>
    <xf numFmtId="172" fontId="0" fillId="5" borderId="0" xfId="0" applyNumberFormat="1" applyFill="1" applyAlignment="1">
      <alignment horizontal="center"/>
    </xf>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emf"/><Relationship Id="rId6" Type="http://schemas.openxmlformats.org/officeDocument/2006/relationships/image" Target="../media/image14.png"/><Relationship Id="rId5" Type="http://schemas.microsoft.com/office/2007/relationships/hdphoto" Target="../media/hdphoto1.wdp"/><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6.emf"/><Relationship Id="rId2" Type="http://schemas.openxmlformats.org/officeDocument/2006/relationships/image" Target="../media/image3.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16.emf"/><Relationship Id="rId4" Type="http://schemas.openxmlformats.org/officeDocument/2006/relationships/image" Target="../media/image2.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v3.8.5</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9</xdr:row>
          <xdr:rowOff>9525</xdr:rowOff>
        </xdr:from>
        <xdr:to>
          <xdr:col>4</xdr:col>
          <xdr:colOff>819150</xdr:colOff>
          <xdr:row>9</xdr:row>
          <xdr:rowOff>180975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9</xdr:row>
          <xdr:rowOff>9525</xdr:rowOff>
        </xdr:from>
        <xdr:to>
          <xdr:col>4</xdr:col>
          <xdr:colOff>533400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816"/>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2119973</xdr:colOff>
      <xdr:row>11</xdr:row>
      <xdr:rowOff>166562</xdr:rowOff>
    </xdr:from>
    <xdr:to>
      <xdr:col>1</xdr:col>
      <xdr:colOff>132291</xdr:colOff>
      <xdr:row>13</xdr:row>
      <xdr:rowOff>57546</xdr:rowOff>
    </xdr:to>
    <xdr:pic macro="[0]!Listado_Completo_HojasCB">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2119973" y="2262062"/>
          <a:ext cx="262599" cy="271984"/>
        </a:xfrm>
        <a:prstGeom prst="rect">
          <a:avLst/>
        </a:prstGeom>
      </xdr:spPr>
    </xdr:pic>
    <xdr:clientData/>
  </xdr:twoCellAnchor>
  <xdr:twoCellAnchor editAs="oneCell">
    <xdr:from>
      <xdr:col>0</xdr:col>
      <xdr:colOff>308873</xdr:colOff>
      <xdr:row>12</xdr:row>
      <xdr:rowOff>9742</xdr:rowOff>
    </xdr:from>
    <xdr:to>
      <xdr:col>0</xdr:col>
      <xdr:colOff>692505</xdr:colOff>
      <xdr:row>13</xdr:row>
      <xdr:rowOff>107242</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2295742"/>
          <a:ext cx="383632" cy="288000"/>
        </a:xfrm>
        <a:prstGeom prst="rect">
          <a:avLst/>
        </a:prstGeom>
      </xdr:spPr>
    </xdr:pic>
    <xdr:clientData/>
  </xdr:twoCellAnchor>
  <xdr:twoCellAnchor editAs="oneCell">
    <xdr:from>
      <xdr:col>0</xdr:col>
      <xdr:colOff>38961</xdr:colOff>
      <xdr:row>12</xdr:row>
      <xdr:rowOff>9742</xdr:rowOff>
    </xdr:from>
    <xdr:to>
      <xdr:col>0</xdr:col>
      <xdr:colOff>271849</xdr:colOff>
      <xdr:row>13</xdr:row>
      <xdr:rowOff>107242</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2295742"/>
          <a:ext cx="232888" cy="288000"/>
        </a:xfrm>
        <a:prstGeom prst="rect">
          <a:avLst/>
        </a:prstGeom>
      </xdr:spPr>
    </xdr:pic>
    <xdr:clientData/>
  </xdr:twoCellAnchor>
  <xdr:twoCellAnchor editAs="oneCell">
    <xdr:from>
      <xdr:col>0</xdr:col>
      <xdr:colOff>729529</xdr:colOff>
      <xdr:row>12</xdr:row>
      <xdr:rowOff>9742</xdr:rowOff>
    </xdr:from>
    <xdr:to>
      <xdr:col>0</xdr:col>
      <xdr:colOff>945529</xdr:colOff>
      <xdr:row>13</xdr:row>
      <xdr:rowOff>107242</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2295742"/>
          <a:ext cx="216000" cy="288000"/>
        </a:xfrm>
        <a:prstGeom prst="rect">
          <a:avLst/>
        </a:prstGeom>
      </xdr:spPr>
    </xdr:pic>
    <xdr:clientData/>
  </xdr:twoCellAnchor>
  <xdr:twoCellAnchor editAs="oneCell">
    <xdr:from>
      <xdr:col>0</xdr:col>
      <xdr:colOff>1148292</xdr:colOff>
      <xdr:row>12</xdr:row>
      <xdr:rowOff>45742</xdr:rowOff>
    </xdr:from>
    <xdr:to>
      <xdr:col>0</xdr:col>
      <xdr:colOff>1562076</xdr:colOff>
      <xdr:row>13</xdr:row>
      <xdr:rowOff>107242</xdr:rowOff>
    </xdr:to>
    <xdr:pic>
      <xdr:nvPicPr>
        <xdr:cNvPr id="8" name="Imagen 7"/>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2331742"/>
          <a:ext cx="413784" cy="252000"/>
        </a:xfrm>
        <a:prstGeom prst="rect">
          <a:avLst/>
        </a:prstGeom>
      </xdr:spPr>
    </xdr:pic>
    <xdr:clientData/>
  </xdr:twoCellAnchor>
  <xdr:twoCellAnchor editAs="oneCell">
    <xdr:from>
      <xdr:col>0</xdr:col>
      <xdr:colOff>905742</xdr:colOff>
      <xdr:row>12</xdr:row>
      <xdr:rowOff>9742</xdr:rowOff>
    </xdr:from>
    <xdr:to>
      <xdr:col>0</xdr:col>
      <xdr:colOff>1121742</xdr:colOff>
      <xdr:row>13</xdr:row>
      <xdr:rowOff>107242</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2295742"/>
          <a:ext cx="216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8882"/>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8" totalsRowCount="1" headerRowDxfId="126" dataDxfId="125" totalsRowDxfId="124">
  <autoFilter ref="A15:T16"/>
  <sortState ref="A16:T18">
    <sortCondition ref="E15"/>
  </sortState>
  <tableColumns count="20">
    <tableColumn id="1" name="HOJAS" totalsRowFunction="custom" dataDxfId="123" totalsRowDxfId="45">
      <totalsRowFormula>"Total Hojas:  "&amp;SUBTOTAL(103,tbl_HojasCB[HOJAS])</totalsRowFormula>
    </tableColumn>
    <tableColumn id="20" name="ALERTAS" totalsRowFunction="sum" dataDxfId="122" totalsRowDxfId="44">
      <calculatedColumnFormula>IFERROR(COUNTA(INDIRECT("Alertas["&amp;tbl_HojasCB[[#This Row],[HOJAS]]&amp;"]")),0)</calculatedColumnFormula>
    </tableColumn>
    <tableColumn id="4" name="COSTO BUFFER" totalsRowFunction="sum" dataDxfId="121" totalsRowDxfId="43">
      <calculatedColumnFormula>IFERROR(INDEX(tbl_hojascb_estado_hoy[costo_buffer],tbl_HojasCB[[#This Row],[Coincidir]]),"")</calculatedColumnFormula>
    </tableColumn>
    <tableColumn id="5" name="COSTO FÍSICO" totalsRowFunction="sum" dataDxfId="120" totalsRowDxfId="42">
      <calculatedColumnFormula>IFERROR(INDEX(tbl_hojascb_estado_hoy[costo_fisico],tbl_HojasCB[[#This Row],[Coincidir]]),"")</calculatedColumnFormula>
    </tableColumn>
    <tableColumn id="6" name="COSTO TRÁNSITO" totalsRowFunction="sum" dataDxfId="119" totalsRowDxfId="41">
      <calculatedColumnFormula>IFERROR(INDEX(tbl_hojascb_estado_hoy[costo_transito],tbl_HojasCB[[#This Row],[Coincidir]]),"")</calculatedColumnFormula>
    </tableColumn>
    <tableColumn id="12" name="COSTO COMPROM" totalsRowFunction="sum" dataDxfId="118" totalsRowDxfId="40">
      <calculatedColumnFormula>IFERROR(INDEX(tbl_hojascb_estado_hoy[costo_comprometido],tbl_HojasCB[[#This Row],[Coincidir]]),"")</calculatedColumnFormula>
    </tableColumn>
    <tableColumn id="13" name="COSTO BACKORDER" totalsRowFunction="sum" dataDxfId="117" totalsRowDxfId="39">
      <calculatedColumnFormula>IFERROR(INDEX(tbl_hojascb_estado_hoy[costo_backorder],tbl_HojasCB[[#This Row],[Coincidir]]),"")</calculatedColumnFormula>
    </tableColumn>
    <tableColumn id="7" name="COSTO PROYECTADO" totalsRowFunction="sum" dataDxfId="116" totalsRowDxfId="38">
      <calculatedColumnFormula>IFERROR(INDEX(tbl_hojascb_estado_hoy[costo_proyectado],tbl_HojasCB[[#This Row],[Coincidir]]),"")</calculatedColumnFormula>
    </tableColumn>
    <tableColumn id="9" name="COSTO TOTAL" totalsRowFunction="sum" dataDxfId="115" totalsRowDxfId="37">
      <calculatedColumnFormula>IFERROR(INDEX(tbl_hojascb_estado_hoy[costo_total],tbl_HojasCB[[#This Row],[Coincidir]]),"")</calculatedColumnFormula>
    </tableColumn>
    <tableColumn id="2" name="ÍTEMS TOTALES" totalsRowFunction="sum" dataDxfId="114" totalsRowDxfId="36">
      <calculatedColumnFormula>IFERROR(INDEX(tbl_hojascb_estado_hoy[sku_totales],tbl_HojasCB[[#This Row],[Coincidir]]),"")</calculatedColumnFormula>
    </tableColumn>
    <tableColumn id="3" name="ÍTEMS CON BUFFER" totalsRowFunction="sum" dataDxfId="113" totalsRowDxfId="35">
      <calculatedColumnFormula>IFERROR(INDEX(tbl_hojascb_estado_hoy[sku_buffer],tbl_HojasCB[[#This Row],[Coincidir]]),"")</calculatedColumnFormula>
    </tableColumn>
    <tableColumn id="11" name="DÍAS PERÍODO" totalsRowFunction="sum" dataDxfId="112" totalsRowDxfId="34">
      <calculatedColumnFormula>IFERROR(INDEX(tbl_hojascb_estado_hoy[dias_periodo],tbl_HojasCB[[#This Row],[Coincidir]]),"")</calculatedColumnFormula>
    </tableColumn>
    <tableColumn id="10" name="DUPLICADOS" totalsRowFunction="sum" dataDxfId="111" totalsRowDxfId="33">
      <calculatedColumnFormula>IFERROR(INDEX(tbl_hojascb_estado_hoy[duplicados],tbl_HojasCB[[#This Row],[Coincidir]]),"")</calculatedColumnFormula>
    </tableColumn>
    <tableColumn id="8" name="REFRESCADA" dataDxfId="110" totalsRowDxfId="32">
      <calculatedColumnFormula>IFERROR(INDEX(tbl_hojascb_estado_hoy[refrescada],tbl_HojasCB[[#This Row],[Coincidir]]),"")&amp;" - "&amp;IFERROR(INDEX(tbl_hojascb_estado_hoy[base_datos],tbl_HojasCB[[#This Row],[Coincidir]]),"")</calculatedColumnFormula>
    </tableColumn>
    <tableColumn id="15" name="REFRESCADO_INI" totalsRowFunction="min" dataDxfId="109" totalsRowDxfId="31">
      <calculatedColumnFormula>IFERROR(INDEX(tbl_hojascb_estado_hoy[inicio_refrescado],tbl_HojasCB[[#This Row],[Coincidir]]),"")</calculatedColumnFormula>
    </tableColumn>
    <tableColumn id="16" name="REFRESCADO_FIN" totalsRowFunction="max" dataDxfId="108" totalsRowDxfId="30">
      <calculatedColumnFormula>IFERROR(INDEX(tbl_hojascb_estado_hoy[fin_refrescado],tbl_HojasCB[[#This Row],[Coincidir]]),"")</calculatedColumnFormula>
    </tableColumn>
    <tableColumn id="17" name="DURACIÓN" totalsRowFunction="sum" dataDxfId="107" totalsRowDxfId="29">
      <calculatedColumnFormula>IFERROR(tbl_HojasCB[[#This Row],[REFRESCADO_FIN]]-tbl_HojasCB[[#This Row],[REFRESCADO_INI]],"")</calculatedColumnFormula>
    </tableColumn>
    <tableColumn id="14" name="GUARDADO" dataDxfId="106" totalsRowDxfId="28">
      <calculatedColumnFormula>IFERROR(INDEX(tbl_hojascb_estado_hoy[guardado],tbl_HojasCB[[#This Row],[Coincidir]]),"")</calculatedColumnFormula>
    </tableColumn>
    <tableColumn id="18" name="RAZÓN" dataDxfId="105" totalsRowDxfId="27">
      <calculatedColumnFormula>IF(IFERROR(INDEX(tbl_hojascb_estado_hoy[razon],tbl_HojasCB[[#This Row],[Coincidir]]),"")=0,"",IFERROR(INDEX(tbl_hojascb_estado_hoy[razon],tbl_HojasCB[[#This Row],[Coincidir]]),""))</calculatedColumnFormula>
    </tableColumn>
    <tableColumn id="19" name="Coincidir" dataDxfId="104" totalsRowDxfId="26">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101">
  <autoFilter ref="B1:Q4"/>
  <sortState ref="B2:Q4">
    <sortCondition descending="1" ref="H1:H4"/>
  </sortState>
  <tableColumns count="16">
    <tableColumn id="1" name="EMPRESA" totalsRowLabel="Total"/>
    <tableColumn id="2" name="HOJA CB" totalsRowFunction="count" totalsRowDxfId="100"/>
    <tableColumn id="3" name="REFRESCADO" dataDxfId="99" totalsRowDxfId="98"/>
    <tableColumn id="14" name="TIPO" dataDxfId="97" totalsRowDxfId="96"/>
    <tableColumn id="16" name="BASE DATOS" dataDxfId="95" totalsRowDxfId="94"/>
    <tableColumn id="4" name="INICIO" totalsRowFunction="min" dataDxfId="93" totalsRowDxfId="92"/>
    <tableColumn id="7" name="FIN" totalsRowFunction="max" dataDxfId="91" totalsRowDxfId="90"/>
    <tableColumn id="5" name="DURACIÓN" totalsRowFunction="sum" dataDxfId="89" totalsRowDxfId="88">
      <calculatedColumnFormula>tbl_Fechas_Refrescado[[#This Row],[FIN]]-tbl_Fechas_Refrescado[[#This Row],[INICIO]]</calculatedColumnFormula>
    </tableColumn>
    <tableColumn id="15" name="RAZÓN" dataDxfId="87" totalsRowDxfId="86"/>
    <tableColumn id="6" name="DIAS PERIODO" totalsRowFunction="max" dataDxfId="85" totalsRowDxfId="84"/>
    <tableColumn id="13" name="DUPLICADOS" totalsRowFunction="sum" dataDxfId="83" totalsRowDxfId="82"/>
    <tableColumn id="8" name="SKUs Totales" totalsRowFunction="sum" dataDxfId="81" totalsRowDxfId="80"/>
    <tableColumn id="9" name="SKUs Buffer" totalsRowFunction="sum" dataDxfId="79" totalsRowDxfId="78"/>
    <tableColumn id="10" name="COSTO BUFFER" totalsRowFunction="sum" dataDxfId="77" totalsRowDxfId="76"/>
    <tableColumn id="11" name="COSTO FISICO" totalsRowFunction="sum" dataDxfId="75" totalsRowDxfId="74"/>
    <tableColumn id="12" name="COSTO TRANSITO" totalsRowFunction="sum" dataDxfId="73" totalsRowDxfId="7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1"/>
    <tableColumn id="5" name="EMPRESA"/>
    <tableColumn id="2" name="DIRECTORIO"/>
    <tableColumn id="3" name="ARCHIVO"/>
    <tableColumn id="4" name="PATH" dataDxfId="7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9"/>
    <tableColumn id="5" name="EMPRESA"/>
    <tableColumn id="6" name="BODEGA"/>
    <tableColumn id="4" name="PATH" dataDxfId="68"/>
    <tableColumn id="2" name="ARCHIVO" dataDxfId="6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6" dataDxfId="65">
  <autoFilter ref="B1:F2"/>
  <tableColumns count="5">
    <tableColumn id="5" name="PERFIL" dataDxfId="64"/>
    <tableColumn id="1" name="FREC REP" dataDxfId="63"/>
    <tableColumn id="2" name="TIEMP SUMINIS" dataDxfId="62"/>
    <tableColumn id="3" name="HORIZONTE" dataDxfId="61"/>
    <tableColumn id="4" name="T NIV SER (DIAS)" dataDxfId="6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9"/>
    <tableColumn id="3" name="RESTAN" dataDxfId="5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7">
  <autoFilter ref="A2:D3"/>
  <tableColumns count="4">
    <tableColumn id="2" name="HOJA CB" totalsRowLabel="TOTALES" totalsRowDxfId="56"/>
    <tableColumn id="3" name="TODOS ITEMS" totalsRowFunction="sum" dataDxfId="55" totalsRowDxfId="54"/>
    <tableColumn id="4" name="ITEMS CON BUFFER" totalsRowFunction="sum" dataDxfId="53" totalsRowDxfId="52"/>
    <tableColumn id="1" name="% ITEMS CON BUFFER" totalsRowFunction="average" dataDxfId="51" totalsRowDxfId="5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8"/>
    <tableColumn id="7" uniqueName="7" name="PATH" queryTableFieldId="7" dataDxfId="47"/>
    <tableColumn id="5" uniqueName="5" name="COMPLETO" queryTableFieldId="5" dataDxfId="4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3" name="Maquinas ECHO - SHINDAIWA.xlsm"/>
    <tableColumn id="4" name="Repuestos ECHO.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3.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1.xm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20.emf"/><Relationship Id="rId4" Type="http://schemas.openxmlformats.org/officeDocument/2006/relationships/control" Target="../activeX/activeX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4.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6.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8.xml"/><Relationship Id="rId5" Type="http://schemas.openxmlformats.org/officeDocument/2006/relationships/image" Target="../media/image2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1.xml"/><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A17" sqref="A17"/>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31"/>
      <c r="C1" s="31"/>
      <c r="D1" s="31"/>
      <c r="E1" s="31"/>
      <c r="F1" s="31"/>
      <c r="G1" s="32"/>
      <c r="H1" s="32"/>
      <c r="I1" s="32"/>
      <c r="J1" s="70">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76" t="s">
        <v>60</v>
      </c>
      <c r="H3" s="55"/>
      <c r="I3" s="58" t="str">
        <f>IF(COUNTIF(tbl_HojasCB[REFRESCADA],"1 - 1")=COUNTA(tbl_HojasCB[HOJAS]),"Completo","Incompleto")</f>
        <v>Completo</v>
      </c>
      <c r="J3" s="32"/>
      <c r="K3" s="32"/>
    </row>
    <row r="4" spans="1:20" ht="15" customHeight="1" x14ac:dyDescent="0.25">
      <c r="A4" s="32"/>
      <c r="C4" s="34"/>
      <c r="D4" s="34"/>
      <c r="E4" s="34"/>
      <c r="F4" s="34"/>
      <c r="G4" s="77" t="s">
        <v>61</v>
      </c>
      <c r="H4" s="54"/>
      <c r="I4" s="61">
        <v>43238</v>
      </c>
      <c r="J4" s="32"/>
      <c r="K4" s="32"/>
      <c r="O4" s="35"/>
    </row>
    <row r="5" spans="1:20" ht="15" customHeight="1" x14ac:dyDescent="0.35">
      <c r="A5" s="36"/>
      <c r="B5" s="37"/>
      <c r="E5" s="37"/>
      <c r="F5" s="37"/>
      <c r="G5" s="77" t="s">
        <v>299</v>
      </c>
      <c r="H5" s="54"/>
      <c r="I5" s="62">
        <f>DURACIONREFRESCADO</f>
        <v>6.435185183363501E-3</v>
      </c>
    </row>
    <row r="6" spans="1:20" ht="15" customHeight="1" x14ac:dyDescent="0.3">
      <c r="A6" s="38"/>
      <c r="B6" s="32"/>
      <c r="C6" s="32"/>
      <c r="D6" s="32"/>
      <c r="E6" s="32"/>
      <c r="F6" s="32"/>
      <c r="G6" s="72" t="s">
        <v>62</v>
      </c>
      <c r="H6" s="56"/>
      <c r="I6" s="63">
        <v>43235</v>
      </c>
    </row>
    <row r="7" spans="1:20" ht="15" customHeight="1" x14ac:dyDescent="0.25">
      <c r="A7" s="32"/>
      <c r="B7" s="32"/>
      <c r="C7" s="32"/>
      <c r="D7" s="32"/>
      <c r="E7" s="32"/>
      <c r="F7" s="32"/>
      <c r="G7" s="73" t="s">
        <v>63</v>
      </c>
      <c r="H7" s="54"/>
      <c r="I7" s="64">
        <v>43235</v>
      </c>
    </row>
    <row r="8" spans="1:20" ht="15" customHeight="1" x14ac:dyDescent="0.25">
      <c r="A8" s="67" t="s">
        <v>88</v>
      </c>
      <c r="B8" s="68"/>
      <c r="C8" s="37"/>
      <c r="D8" s="39" t="str">
        <f ca="1">HYPERLINK("["&amp;LEFT(CELL("filename",A1),FIND("[",CELL("filename",A1))-2)&amp;"\CONTROL DE BUFFERS\ARCHIVO\ARCHIVO.xlsm]","Archivo")</f>
        <v>Archivo</v>
      </c>
      <c r="E8" s="40" t="str">
        <f ca="1">HYPERLINK(LEFT(CELL("filename",A1),FIND("[",CELL("filename",A1))-2)&amp;"\CONTROL DE BUFFERS\ARCHIVO\","dir")</f>
        <v>dir</v>
      </c>
      <c r="F8" s="32"/>
      <c r="G8" s="73" t="s">
        <v>64</v>
      </c>
      <c r="H8" s="54"/>
      <c r="I8" s="64">
        <v>43235</v>
      </c>
    </row>
    <row r="9" spans="1:20" ht="15" customHeight="1" x14ac:dyDescent="0.25">
      <c r="A9" s="39" t="str">
        <f>HYPERLINK("[O:\COMPROMETIDOS Y BACKORDERS\COMPROMETIDOS Y BACKORDERS.xlsm]Comprometidos!a1","Comprometidos")</f>
        <v>Comprometidos</v>
      </c>
      <c r="B9" s="40" t="str">
        <f>HYPERLINK("O:\COMPROMETIDOS Y BACKORDERS\","dir")</f>
        <v>dir</v>
      </c>
      <c r="C9" s="32"/>
      <c r="D9" s="39" t="str">
        <f ca="1">HYPERLINK("["&amp;LEFT(CELL("filename",L3),FIND("[",CELL("filename",L3))-2)&amp;"\CONTROL DE BUFFERS\SIMULADOR\Simulacion RAM CAS.xlsm]","SIMULADOR BUFFERS")</f>
        <v>SIMULADOR BUFFERS</v>
      </c>
      <c r="E9" s="40"/>
      <c r="F9" s="32"/>
      <c r="G9" s="72" t="s">
        <v>73</v>
      </c>
      <c r="H9" s="57"/>
      <c r="I9" s="63" t="s">
        <v>109</v>
      </c>
    </row>
    <row r="10" spans="1:20" ht="15" customHeight="1" x14ac:dyDescent="0.25">
      <c r="A10" s="39" t="str">
        <f>HYPERLINK("[O:\COMPROMETIDOS Y BACKORDERS\COMPROMETIDOS Y BACKORDERS.xlsm]Backorders!a1","Backorders")</f>
        <v>Backorders</v>
      </c>
      <c r="B10" s="40" t="str">
        <f>HYPERLINK("O:\COMPROMETIDOS Y BACKORDERS\","dir")</f>
        <v>dir</v>
      </c>
      <c r="C10" s="32"/>
      <c r="D10" s="41" t="str">
        <f>IFERROR(IF(COUNTA(Alertas!$A$1)&gt;0,"HAY ALERTAS","NO HAY ALERTAS"),"NO HAY ALERTAS")</f>
        <v>HAY ALERTAS</v>
      </c>
      <c r="E10" s="42"/>
      <c r="F10" s="32"/>
      <c r="G10" s="72" t="s">
        <v>74</v>
      </c>
      <c r="H10" s="56"/>
      <c r="I10" s="63">
        <v>43229</v>
      </c>
    </row>
    <row r="11" spans="1:20" ht="15" customHeight="1" x14ac:dyDescent="0.25">
      <c r="A11" s="43"/>
      <c r="B11" s="32" t="s">
        <v>303</v>
      </c>
      <c r="C11" s="32"/>
      <c r="D11" s="39" t="str">
        <f ca="1">HYPERLINK("["&amp;LEFT(CELL("filename",A1),FIND("[",CELL("filename",A1))-2)&amp;"\CONTROL DE BUFFERS\PLANTILLAS\Plantilla Copiado Pegado.xlsx]","Copiado y Pegado")</f>
        <v>Copiado y Pegado</v>
      </c>
      <c r="E11" s="40"/>
      <c r="F11" s="32"/>
      <c r="G11" s="74" t="s">
        <v>68</v>
      </c>
      <c r="H11" s="56"/>
      <c r="I11" s="65">
        <v>9.7222222222222224E-2</v>
      </c>
    </row>
    <row r="12" spans="1:20" ht="15" customHeight="1" x14ac:dyDescent="0.3">
      <c r="A12" s="71" t="s">
        <v>170</v>
      </c>
      <c r="B12" s="59"/>
      <c r="C12" s="59"/>
      <c r="D12" s="59"/>
      <c r="E12" s="59"/>
      <c r="F12" s="59"/>
      <c r="G12" s="75" t="s">
        <v>144</v>
      </c>
      <c r="H12" s="54"/>
      <c r="I12" s="66">
        <v>8.3333333333333329E-2</v>
      </c>
    </row>
    <row r="13" spans="1:20" ht="15" customHeight="1" x14ac:dyDescent="0.25">
      <c r="G13" s="75" t="s">
        <v>78</v>
      </c>
      <c r="H13" s="54"/>
      <c r="I13" s="66">
        <v>0.97916666666666663</v>
      </c>
    </row>
    <row r="14" spans="1:20" ht="11.25" customHeight="1" x14ac:dyDescent="0.25">
      <c r="G14" s="32"/>
      <c r="H14" s="32"/>
      <c r="I14" s="69"/>
    </row>
    <row r="15" spans="1:20" ht="26.25" customHeight="1" x14ac:dyDescent="0.25">
      <c r="A15" s="44" t="s">
        <v>263</v>
      </c>
      <c r="B15" s="44" t="s">
        <v>298</v>
      </c>
      <c r="C15" s="44" t="s">
        <v>98</v>
      </c>
      <c r="D15" s="44" t="s">
        <v>266</v>
      </c>
      <c r="E15" s="44" t="s">
        <v>268</v>
      </c>
      <c r="F15" s="44" t="s">
        <v>270</v>
      </c>
      <c r="G15" s="44" t="s">
        <v>271</v>
      </c>
      <c r="H15" s="45" t="s">
        <v>267</v>
      </c>
      <c r="I15" s="45" t="s">
        <v>296</v>
      </c>
      <c r="J15" s="44" t="s">
        <v>264</v>
      </c>
      <c r="K15" s="44" t="s">
        <v>265</v>
      </c>
      <c r="L15" s="44" t="s">
        <v>269</v>
      </c>
      <c r="M15" s="44" t="s">
        <v>101</v>
      </c>
      <c r="N15" s="44" t="s">
        <v>275</v>
      </c>
      <c r="O15" s="44" t="s">
        <v>273</v>
      </c>
      <c r="P15" s="44" t="s">
        <v>274</v>
      </c>
      <c r="Q15" s="44" t="s">
        <v>91</v>
      </c>
      <c r="R15" s="44" t="s">
        <v>272</v>
      </c>
      <c r="S15" s="44" t="s">
        <v>111</v>
      </c>
      <c r="T15" s="44" t="s">
        <v>297</v>
      </c>
    </row>
    <row r="16" spans="1:20" ht="15" customHeight="1" x14ac:dyDescent="0.25">
      <c r="A16" s="35" t="s">
        <v>253</v>
      </c>
      <c r="B16" s="60">
        <f ca="1">IFERROR(COUNTA(INDIRECT("Alertas["&amp;tbl_HojasCB[[#This Row],[HOJAS]]&amp;"]")),0)</f>
        <v>7</v>
      </c>
      <c r="C16" s="46">
        <f>IFERROR(INDEX(tbl_hojascb_estado_hoy[costo_buffer],tbl_HojasCB[[#This Row],[Coincidir]]),"")</f>
        <v>108068.39</v>
      </c>
      <c r="D16" s="46">
        <f>IFERROR(INDEX(tbl_hojascb_estado_hoy[costo_fisico],tbl_HojasCB[[#This Row],[Coincidir]]),"")</f>
        <v>44589.83</v>
      </c>
      <c r="E16" s="46">
        <f>IFERROR(INDEX(tbl_hojascb_estado_hoy[costo_transito],tbl_HojasCB[[#This Row],[Coincidir]]),"")</f>
        <v>25605.119999999999</v>
      </c>
      <c r="F16" s="46">
        <f>IFERROR(INDEX(tbl_hojascb_estado_hoy[costo_comprometido],tbl_HojasCB[[#This Row],[Coincidir]]),"")</f>
        <v>0</v>
      </c>
      <c r="G16" s="46">
        <f>IFERROR(INDEX(tbl_hojascb_estado_hoy[costo_backorder],tbl_HojasCB[[#This Row],[Coincidir]]),"")</f>
        <v>32288.959999999999</v>
      </c>
      <c r="H16" s="46">
        <f>IFERROR(INDEX(tbl_hojascb_estado_hoy[costo_proyectado],tbl_HojasCB[[#This Row],[Coincidir]]),"")</f>
        <v>102483.91</v>
      </c>
      <c r="I16" s="46">
        <f>IFERROR(INDEX(tbl_hojascb_estado_hoy[costo_total],tbl_HojasCB[[#This Row],[Coincidir]]),"")</f>
        <v>70194.95</v>
      </c>
      <c r="J16" s="47">
        <f>IFERROR(INDEX(tbl_hojascb_estado_hoy[sku_totales],tbl_HojasCB[[#This Row],[Coincidir]]),"")</f>
        <v>80</v>
      </c>
      <c r="K16" s="47">
        <f>IFERROR(INDEX(tbl_hojascb_estado_hoy[sku_buffer],tbl_HojasCB[[#This Row],[Coincidir]]),"")</f>
        <v>63</v>
      </c>
      <c r="L16" s="47">
        <f>IFERROR(INDEX(tbl_hojascb_estado_hoy[dias_periodo],tbl_HojasCB[[#This Row],[Coincidir]]),"")</f>
        <v>174</v>
      </c>
      <c r="M16" s="47">
        <f>IFERROR(INDEX(tbl_hojascb_estado_hoy[duplicados],tbl_HojasCB[[#This Row],[Coincidir]]),"")</f>
        <v>0</v>
      </c>
      <c r="N16" s="48" t="str">
        <f>IFERROR(INDEX(tbl_hojascb_estado_hoy[refrescada],tbl_HojasCB[[#This Row],[Coincidir]]),"")&amp;" - "&amp;IFERROR(INDEX(tbl_hojascb_estado_hoy[base_datos],tbl_HojasCB[[#This Row],[Coincidir]]),"")</f>
        <v>1 - 1</v>
      </c>
      <c r="O16" s="49">
        <f>IFERROR(INDEX(tbl_hojascb_estado_hoy[inicio_refrescado],tbl_HojasCB[[#This Row],[Coincidir]]),"")</f>
        <v>43237.484907407408</v>
      </c>
      <c r="P16" s="49">
        <f>IFERROR(INDEX(tbl_hojascb_estado_hoy[fin_refrescado],tbl_HojasCB[[#This Row],[Coincidir]]),"")</f>
        <v>43237.486157407409</v>
      </c>
      <c r="Q16" s="78">
        <f>IFERROR(tbl_HojasCB[[#This Row],[REFRESCADO_FIN]]-tbl_HojasCB[[#This Row],[REFRESCADO_INI]],"")</f>
        <v>1.2500000011641532E-3</v>
      </c>
      <c r="R16" s="49">
        <f>IFERROR(INDEX(tbl_hojascb_estado_hoy[guardado],tbl_HojasCB[[#This Row],[Coincidir]]),"")</f>
        <v>43237.492048611108</v>
      </c>
      <c r="S16" s="50" t="str">
        <f>IF(IFERROR(INDEX(tbl_hojascb_estado_hoy[razon],tbl_HojasCB[[#This Row],[Coincidir]]),"")=0,"",IFERROR(INDEX(tbl_hojascb_estado_hoy[razon],tbl_HojasCB[[#This Row],[Coincidir]]),""))</f>
        <v/>
      </c>
      <c r="T16" s="48">
        <f>MATCH(EMP&amp;tbl_HojasCB[[#This Row],[HOJAS]],tbl_hojascb_estado_hoy[empresa_hoja],0)</f>
        <v>1</v>
      </c>
    </row>
    <row r="17" spans="1:20" ht="15" customHeight="1" x14ac:dyDescent="0.25">
      <c r="A17" s="35" t="s">
        <v>250</v>
      </c>
      <c r="B17" s="60">
        <f ca="1">IFERROR(COUNTA(INDIRECT("Alertas["&amp;tbl_HojasCB[[#This Row],[HOJAS]]&amp;"]")),0)</f>
        <v>5</v>
      </c>
      <c r="C17" s="46">
        <f>IFERROR(INDEX(tbl_hojascb_estado_hoy[costo_buffer],tbl_HojasCB[[#This Row],[Coincidir]]),"")</f>
        <v>887309.09</v>
      </c>
      <c r="D17" s="46">
        <f>IFERROR(INDEX(tbl_hojascb_estado_hoy[costo_fisico],tbl_HojasCB[[#This Row],[Coincidir]]),"")</f>
        <v>290972.53000000003</v>
      </c>
      <c r="E17" s="46">
        <f>IFERROR(INDEX(tbl_hojascb_estado_hoy[costo_transito],tbl_HojasCB[[#This Row],[Coincidir]]),"")</f>
        <v>399712.76</v>
      </c>
      <c r="F17" s="46">
        <f>IFERROR(INDEX(tbl_hojascb_estado_hoy[costo_comprometido],tbl_HojasCB[[#This Row],[Coincidir]]),"")</f>
        <v>0</v>
      </c>
      <c r="G17" s="46">
        <f>IFERROR(INDEX(tbl_hojascb_estado_hoy[costo_backorder],tbl_HojasCB[[#This Row],[Coincidir]]),"")</f>
        <v>1425.32</v>
      </c>
      <c r="H17" s="46">
        <f>IFERROR(INDEX(tbl_hojascb_estado_hoy[costo_proyectado],tbl_HojasCB[[#This Row],[Coincidir]]),"")</f>
        <v>692110.61</v>
      </c>
      <c r="I17" s="46">
        <f>IFERROR(INDEX(tbl_hojascb_estado_hoy[costo_total],tbl_HojasCB[[#This Row],[Coincidir]]),"")</f>
        <v>690685.29</v>
      </c>
      <c r="J17" s="47">
        <f>IFERROR(INDEX(tbl_hojascb_estado_hoy[sku_totales],tbl_HojasCB[[#This Row],[Coincidir]]),"")</f>
        <v>58</v>
      </c>
      <c r="K17" s="47">
        <f>IFERROR(INDEX(tbl_hojascb_estado_hoy[sku_buffer],tbl_HojasCB[[#This Row],[Coincidir]]),"")</f>
        <v>45</v>
      </c>
      <c r="L17" s="47">
        <f>IFERROR(INDEX(tbl_hojascb_estado_hoy[dias_periodo],tbl_HojasCB[[#This Row],[Coincidir]]),"")</f>
        <v>228</v>
      </c>
      <c r="M17" s="47">
        <f>IFERROR(INDEX(tbl_hojascb_estado_hoy[duplicados],tbl_HojasCB[[#This Row],[Coincidir]]),"")</f>
        <v>0</v>
      </c>
      <c r="N17" s="48" t="str">
        <f>IFERROR(INDEX(tbl_hojascb_estado_hoy[refrescada],tbl_HojasCB[[#This Row],[Coincidir]]),"")&amp;" - "&amp;IFERROR(INDEX(tbl_hojascb_estado_hoy[base_datos],tbl_HojasCB[[#This Row],[Coincidir]]),"")</f>
        <v>1 - 1</v>
      </c>
      <c r="O17" s="49">
        <f>IFERROR(INDEX(tbl_hojascb_estado_hoy[inicio_refrescado],tbl_HojasCB[[#This Row],[Coincidir]]),"")</f>
        <v>43237.484907407408</v>
      </c>
      <c r="P17" s="49">
        <f>IFERROR(INDEX(tbl_hojascb_estado_hoy[fin_refrescado],tbl_HojasCB[[#This Row],[Coincidir]]),"")</f>
        <v>43237.486157407409</v>
      </c>
      <c r="Q17" s="78">
        <f>IFERROR(tbl_HojasCB[[#This Row],[REFRESCADO_FIN]]-tbl_HojasCB[[#This Row],[REFRESCADO_INI]],"")</f>
        <v>1.2500000011641532E-3</v>
      </c>
      <c r="R17" s="49">
        <f>IFERROR(INDEX(tbl_hojascb_estado_hoy[guardado],tbl_HojasCB[[#This Row],[Coincidir]]),"")</f>
        <v>43238.454039351855</v>
      </c>
      <c r="S17" s="50" t="str">
        <f>IF(IFERROR(INDEX(tbl_hojascb_estado_hoy[razon],tbl_HojasCB[[#This Row],[Coincidir]]),"")=0,"",IFERROR(INDEX(tbl_hojascb_estado_hoy[razon],tbl_HojasCB[[#This Row],[Coincidir]]),""))</f>
        <v/>
      </c>
      <c r="T17" s="48">
        <f>MATCH(EMP&amp;tbl_HojasCB[[#This Row],[HOJAS]],tbl_hojascb_estado_hoy[empresa_hoja],0)</f>
        <v>4</v>
      </c>
    </row>
    <row r="18" spans="1:20" ht="15" customHeight="1" x14ac:dyDescent="0.25">
      <c r="A18" s="51" t="str">
        <f>"Total Hojas:  "&amp;SUBTOTAL(103,tbl_HojasCB[HOJAS])</f>
        <v>Total Hojas:  2</v>
      </c>
      <c r="B18" s="51">
        <f ca="1">SUBTOTAL(109,tbl_HojasCB[ALERTAS])</f>
        <v>12</v>
      </c>
      <c r="C18" s="46">
        <f>SUBTOTAL(109,tbl_HojasCB[COSTO BUFFER])</f>
        <v>995377.48</v>
      </c>
      <c r="D18" s="46">
        <f>SUBTOTAL(109,tbl_HojasCB[COSTO FÍSICO])</f>
        <v>335562.36000000004</v>
      </c>
      <c r="E18" s="46">
        <f>SUBTOTAL(109,tbl_HojasCB[COSTO TRÁNSITO])</f>
        <v>425317.88</v>
      </c>
      <c r="F18" s="46">
        <f>SUBTOTAL(109,tbl_HojasCB[COSTO COMPROM])</f>
        <v>0</v>
      </c>
      <c r="G18" s="46">
        <f>SUBTOTAL(109,tbl_HojasCB[COSTO BACKORDER])</f>
        <v>33714.28</v>
      </c>
      <c r="H18" s="46">
        <f>SUBTOTAL(109,tbl_HojasCB[COSTO PROYECTADO])</f>
        <v>794594.52</v>
      </c>
      <c r="I18" s="46">
        <f>SUBTOTAL(109,tbl_HojasCB[COSTO TOTAL])</f>
        <v>760880.24</v>
      </c>
      <c r="J18" s="52">
        <f>SUBTOTAL(109,tbl_HojasCB[ÍTEMS TOTALES])</f>
        <v>138</v>
      </c>
      <c r="K18" s="52">
        <f>SUBTOTAL(109,tbl_HojasCB[ÍTEMS CON BUFFER])</f>
        <v>108</v>
      </c>
      <c r="L18" s="52">
        <f>SUBTOTAL(109,tbl_HojasCB[DÍAS PERÍODO])</f>
        <v>402</v>
      </c>
      <c r="M18" s="52">
        <f>SUBTOTAL(109,tbl_HojasCB[DUPLICADOS])</f>
        <v>0</v>
      </c>
      <c r="N18" s="51"/>
      <c r="O18" s="49">
        <f>SUBTOTAL(105,tbl_HojasCB[REFRESCADO_INI])</f>
        <v>43237.484907407408</v>
      </c>
      <c r="P18" s="49">
        <f>SUBTOTAL(104,tbl_HojasCB[REFRESCADO_FIN])</f>
        <v>43237.486157407409</v>
      </c>
      <c r="Q18" s="78">
        <f>SUBTOTAL(109,tbl_HojasCB[DURACIÓN])</f>
        <v>2.5000000023283064E-3</v>
      </c>
      <c r="R18" s="51"/>
      <c r="T18" s="51"/>
    </row>
    <row r="19" spans="1:20" ht="15" customHeight="1" x14ac:dyDescent="0.25"/>
    <row r="20" spans="1:20" ht="15" customHeight="1" x14ac:dyDescent="0.25"/>
    <row r="21" spans="1:20" ht="15" customHeight="1" x14ac:dyDescent="0.25"/>
    <row r="22" spans="1:20" ht="15" customHeight="1" x14ac:dyDescent="0.25"/>
    <row r="23" spans="1:20" ht="15" customHeight="1" x14ac:dyDescent="0.25"/>
    <row r="128" spans="184:185" x14ac:dyDescent="0.25">
      <c r="GB128" s="53" t="s">
        <v>194</v>
      </c>
      <c r="GC128" s="33" t="s">
        <v>145</v>
      </c>
    </row>
  </sheetData>
  <sheetProtection algorithmName="SHA-512" hashValue="mADQ8w0kt7YTn9VEDFJVdx1mUj3hJQ7IAZZf1sB0fLX4UtD0dncE5nPdq6DhEYK2EbrPcUDxUjbhdKSXAWXILQ==" saltValue="uDsH44JXUiASECG6ozvTrQ==" spinCount="100000" sheet="1" objects="1" scenarios="1" sort="0" autoFilter="0"/>
  <conditionalFormatting sqref="I6:I10">
    <cfRule type="expression" dxfId="25" priority="25">
      <formula>I6&lt;&gt;$I$4</formula>
    </cfRule>
  </conditionalFormatting>
  <conditionalFormatting sqref="I3">
    <cfRule type="expression" dxfId="24" priority="15" stopIfTrue="1">
      <formula>REFRESCADO="Completo"</formula>
    </cfRule>
    <cfRule type="expression" dxfId="23" priority="24">
      <formula>REFRESCADO="Incompleto"</formula>
    </cfRule>
  </conditionalFormatting>
  <conditionalFormatting sqref="D10:E10">
    <cfRule type="expression" dxfId="22" priority="20">
      <formula>$D10="NO HAY ALERTAS"</formula>
    </cfRule>
    <cfRule type="expression" dxfId="21" priority="21">
      <formula>$D10="HAY ALERTAS"</formula>
    </cfRule>
  </conditionalFormatting>
  <conditionalFormatting sqref="I4">
    <cfRule type="expression" dxfId="20" priority="16">
      <formula>I4&lt;&gt;TODAY()</formula>
    </cfRule>
  </conditionalFormatting>
  <conditionalFormatting sqref="A16:S17">
    <cfRule type="expression" dxfId="19" priority="1" stopIfTrue="1">
      <formula>OR(TRUNC($P16)&lt;TODAY(),$N16&lt;&gt;"1 - 1")</formula>
    </cfRule>
    <cfRule type="expression" dxfId="18" priority="3116" stopIfTrue="1">
      <formula>$M16&gt;0</formula>
    </cfRule>
  </conditionalFormatting>
  <conditionalFormatting sqref="B16:B17">
    <cfRule type="colorScale" priority="3117">
      <colorScale>
        <cfvo type="num" val="0"/>
        <cfvo type="percentile" val="50"/>
        <cfvo type="num" val="6"/>
        <color rgb="FF63BE7B"/>
        <color rgb="FFFFEB84"/>
        <color rgb="FFF8696B"/>
      </colorScale>
    </cfRule>
  </conditionalFormatting>
  <conditionalFormatting sqref="C16:C17">
    <cfRule type="dataBar" priority="3764">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7">
    <cfRule type="dataBar" priority="3765">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7">
    <cfRule type="dataBar" priority="3766">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7">
    <cfRule type="dataBar" priority="3767">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7">
    <cfRule type="dataBar" priority="3768">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7">
    <cfRule type="dataBar" priority="3769">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7">
    <cfRule type="dataBar" priority="3770">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7">
    <cfRule type="dataBar" priority="3771">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7">
    <cfRule type="dataBar" priority="3772">
      <dataBar>
        <cfvo type="min"/>
        <cfvo type="max"/>
        <color rgb="FFFFB628"/>
      </dataBar>
      <extLst>
        <ext xmlns:x14="http://schemas.microsoft.com/office/spreadsheetml/2009/9/main" uri="{B025F937-C7B1-47D3-B67F-A62EFF666E3E}">
          <x14:id>{BC002F9D-636E-47D2-840E-33D6699C67B8}</x14:id>
        </ext>
      </extLst>
    </cfRule>
  </conditionalFormatting>
  <dataValidations disablePrompts="1"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7019" r:id="rId4" name="cmdTransferenciasActivas">
          <controlPr defaultSize="0" autoLine="0" r:id="rId5">
            <anchor>
              <from>
                <xdr:col>2</xdr:col>
                <xdr:colOff>276225</xdr:colOff>
                <xdr:row>5</xdr:row>
                <xdr:rowOff>123825</xdr:rowOff>
              </from>
              <to>
                <xdr:col>2</xdr:col>
                <xdr:colOff>628650</xdr:colOff>
                <xdr:row>7</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61" r:id="rId6" name="cmd_Refrescar_Alertas">
          <controlPr defaultSize="0" autoLine="0" r:id="rId7">
            <anchor>
              <from>
                <xdr:col>4</xdr:col>
                <xdr:colOff>523875</xdr:colOff>
                <xdr:row>9</xdr:row>
                <xdr:rowOff>9525</xdr:rowOff>
              </from>
              <to>
                <xdr:col>4</xdr:col>
                <xdr:colOff>819150</xdr:colOff>
                <xdr:row>9</xdr:row>
                <xdr:rowOff>180975</xdr:rowOff>
              </to>
            </anchor>
          </controlPr>
        </control>
      </mc:Choice>
      <mc:Fallback>
        <control shapeId="1061" r:id="rId6" name="cmd_Refrescar_Alertas"/>
      </mc:Fallback>
    </mc:AlternateContent>
    <mc:AlternateContent xmlns:mc="http://schemas.openxmlformats.org/markup-compatibility/2006">
      <mc:Choice Requires="x14">
        <control shapeId="1057" r:id="rId8" name="cmdMantenimiento">
          <controlPr defaultSize="0" autoLine="0" r:id="rId9">
            <anchor>
              <from>
                <xdr:col>4</xdr:col>
                <xdr:colOff>476250</xdr:colOff>
                <xdr:row>2</xdr:row>
                <xdr:rowOff>28575</xdr:rowOff>
              </from>
              <to>
                <xdr:col>5</xdr:col>
                <xdr:colOff>819150</xdr:colOff>
                <xdr:row>3</xdr:row>
                <xdr:rowOff>104775</xdr:rowOff>
              </to>
            </anchor>
          </controlPr>
        </control>
      </mc:Choice>
      <mc:Fallback>
        <control shapeId="1057" r:id="rId8" name="cmdMantenimiento"/>
      </mc:Fallback>
    </mc:AlternateContent>
    <mc:AlternateContent xmlns:mc="http://schemas.openxmlformats.org/markup-compatibility/2006">
      <mc:Choice Requires="x14">
        <control shapeId="1053" r:id="rId10" name="cmdControl">
          <controlPr defaultSize="0" autoLine="0" r:id="rId11">
            <anchor>
              <from>
                <xdr:col>0</xdr:col>
                <xdr:colOff>1314450</xdr:colOff>
                <xdr:row>4</xdr:row>
                <xdr:rowOff>19050</xdr:rowOff>
              </from>
              <to>
                <xdr:col>0</xdr:col>
                <xdr:colOff>2190750</xdr:colOff>
                <xdr:row>6</xdr:row>
                <xdr:rowOff>66675</xdr:rowOff>
              </to>
            </anchor>
          </controlPr>
        </control>
      </mc:Choice>
      <mc:Fallback>
        <control shapeId="1053" r:id="rId10" name="cmdControl"/>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6" r:id="rId14" name="cmdTransferencias">
          <controlPr defaultSize="0" autoLine="0" r:id="rId15">
            <anchor>
              <from>
                <xdr:col>0</xdr:col>
                <xdr:colOff>2219325</xdr:colOff>
                <xdr:row>4</xdr:row>
                <xdr:rowOff>19050</xdr:rowOff>
              </from>
              <to>
                <xdr:col>2</xdr:col>
                <xdr:colOff>276225</xdr:colOff>
                <xdr:row>6</xdr:row>
                <xdr:rowOff>66675</xdr:rowOff>
              </to>
            </anchor>
          </controlPr>
        </control>
      </mc:Choice>
      <mc:Fallback>
        <control shapeId="1056" r:id="rId14" name="cmdTransferencias"/>
      </mc:Fallback>
    </mc:AlternateContent>
    <mc:AlternateContent xmlns:mc="http://schemas.openxmlformats.org/markup-compatibility/2006">
      <mc:Choice Requires="x14">
        <control shapeId="1062" r:id="rId16" name="cmd_Alertas_Actuales">
          <controlPr defaultSize="0" autoLine="0" r:id="rId17">
            <anchor>
              <from>
                <xdr:col>4</xdr:col>
                <xdr:colOff>190500</xdr:colOff>
                <xdr:row>9</xdr:row>
                <xdr:rowOff>9525</xdr:rowOff>
              </from>
              <to>
                <xdr:col>4</xdr:col>
                <xdr:colOff>533400</xdr:colOff>
                <xdr:row>9</xdr:row>
                <xdr:rowOff>180975</xdr:rowOff>
              </to>
            </anchor>
          </controlPr>
        </control>
      </mc:Choice>
      <mc:Fallback>
        <control shapeId="1062" r:id="rId16" name="cmd_Alertas_Actuales"/>
      </mc:Fallback>
    </mc:AlternateContent>
    <mc:AlternateContent xmlns:mc="http://schemas.openxmlformats.org/markup-compatibility/2006">
      <mc:Choice Requires="x14">
        <control shapeId="49451" r:id="rId18" name="cmd_Reportaje">
          <controlPr defaultSize="0" autoLine="0" r:id="rId19">
            <anchor>
              <from>
                <xdr:col>2</xdr:col>
                <xdr:colOff>638175</xdr:colOff>
                <xdr:row>4</xdr:row>
                <xdr:rowOff>19050</xdr:rowOff>
              </from>
              <to>
                <xdr:col>3</xdr:col>
                <xdr:colOff>752475</xdr:colOff>
                <xdr:row>6</xdr:row>
                <xdr:rowOff>66675</xdr:rowOff>
              </to>
            </anchor>
          </controlPr>
        </control>
      </mc:Choice>
      <mc:Fallback>
        <control shapeId="49451" r:id="rId18" name="cmd_Reportaje"/>
      </mc:Fallback>
    </mc:AlternateContent>
    <mc:AlternateContent xmlns:mc="http://schemas.openxmlformats.org/markup-compatibility/2006">
      <mc:Choice Requires="x14">
        <control shapeId="96465" r:id="rId20" name="cmdNuevaTransfer">
          <controlPr defaultSize="0" autoLine="0" r:id="rId21">
            <anchor>
              <from>
                <xdr:col>2</xdr:col>
                <xdr:colOff>276225</xdr:colOff>
                <xdr:row>4</xdr:row>
                <xdr:rowOff>19050</xdr:rowOff>
              </from>
              <to>
                <xdr:col>2</xdr:col>
                <xdr:colOff>628650</xdr:colOff>
                <xdr:row>5</xdr:row>
                <xdr:rowOff>114300</xdr:rowOff>
              </to>
            </anchor>
          </controlPr>
        </control>
      </mc:Choice>
      <mc:Fallback>
        <control shapeId="96465" r:id="rId20" name="cmdNuevaTransfer"/>
      </mc:Fallback>
    </mc:AlternateContent>
    <mc:AlternateContent xmlns:mc="http://schemas.openxmlformats.org/markup-compatibility/2006">
      <mc:Choice Requires="x14">
        <control shapeId="170289" r:id="rId22"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3"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4" name="cmd_Importa_Datos_ERP">
          <controlPr defaultSize="0" print="0" autoFill="0" autoPict="0" macro="[0]!Trae_Datos_del_ERP">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5"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controls>
  <tableParts count="1">
    <tablePart r:id="rId26"/>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C16:C17</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D16:D17</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E16:E17</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G16:G17</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H16:H17</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I16:I17</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J16:J17</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K16:K17</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276</v>
      </c>
      <c r="B1" t="s">
        <v>277</v>
      </c>
      <c r="C1" t="s">
        <v>278</v>
      </c>
      <c r="D1" t="s">
        <v>279</v>
      </c>
      <c r="E1" t="s">
        <v>280</v>
      </c>
      <c r="F1" t="s">
        <v>281</v>
      </c>
      <c r="G1" t="s">
        <v>282</v>
      </c>
      <c r="H1" t="s">
        <v>283</v>
      </c>
      <c r="I1" t="s">
        <v>284</v>
      </c>
      <c r="J1" t="s">
        <v>285</v>
      </c>
      <c r="K1" t="s">
        <v>286</v>
      </c>
      <c r="L1" t="s">
        <v>287</v>
      </c>
      <c r="M1" t="s">
        <v>288</v>
      </c>
      <c r="N1" t="s">
        <v>289</v>
      </c>
      <c r="O1" t="s">
        <v>290</v>
      </c>
      <c r="P1" t="s">
        <v>291</v>
      </c>
      <c r="Q1" t="s">
        <v>292</v>
      </c>
      <c r="R1" t="s">
        <v>293</v>
      </c>
      <c r="S1" t="s">
        <v>294</v>
      </c>
      <c r="T1" t="s">
        <v>295</v>
      </c>
    </row>
    <row r="2" spans="1:20" x14ac:dyDescent="0.25">
      <c r="A2" t="s">
        <v>0</v>
      </c>
      <c r="B2" t="s">
        <v>253</v>
      </c>
      <c r="C2">
        <v>1</v>
      </c>
      <c r="D2">
        <v>1</v>
      </c>
      <c r="E2" s="24">
        <v>43237.484907407408</v>
      </c>
      <c r="F2" s="24">
        <v>43237.486157407409</v>
      </c>
      <c r="G2" s="24">
        <v>43237.492048611108</v>
      </c>
      <c r="I2">
        <v>174</v>
      </c>
      <c r="J2">
        <v>0</v>
      </c>
      <c r="K2">
        <v>80</v>
      </c>
      <c r="L2">
        <v>63</v>
      </c>
      <c r="M2">
        <v>108068.39</v>
      </c>
      <c r="N2">
        <v>44589.83</v>
      </c>
      <c r="O2">
        <v>25605.119999999999</v>
      </c>
      <c r="P2">
        <v>0</v>
      </c>
      <c r="Q2">
        <v>32288.959999999999</v>
      </c>
      <c r="R2">
        <v>102483.91</v>
      </c>
      <c r="S2">
        <v>70194.95</v>
      </c>
      <c r="T2" s="2" t="str">
        <f>tbl_hojascb_estado_hoy[[#This Row],[empresa]]&amp;tbl_hojascb_estado_hoy[[#This Row],[hoja_cb]]</f>
        <v>AGROTAAccesorios.xlsm</v>
      </c>
    </row>
    <row r="3" spans="1:20" x14ac:dyDescent="0.25">
      <c r="A3" t="s">
        <v>0</v>
      </c>
      <c r="B3" t="s">
        <v>261</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43237.484907407408</v>
      </c>
      <c r="F4" s="24">
        <v>43237.486157407409</v>
      </c>
      <c r="G4" s="24">
        <v>43237.490532407406</v>
      </c>
      <c r="I4">
        <v>228</v>
      </c>
      <c r="J4">
        <v>0</v>
      </c>
      <c r="K4">
        <v>57</v>
      </c>
      <c r="L4">
        <v>45</v>
      </c>
      <c r="M4">
        <v>887483.71</v>
      </c>
      <c r="N4">
        <v>289590.53000000003</v>
      </c>
      <c r="O4">
        <v>209520.14</v>
      </c>
      <c r="P4">
        <v>0</v>
      </c>
      <c r="Q4">
        <v>1426.24</v>
      </c>
      <c r="R4">
        <v>500536.91</v>
      </c>
      <c r="S4">
        <v>499110.67</v>
      </c>
      <c r="T4" s="2" t="str">
        <f>tbl_hojascb_estado_hoy[[#This Row],[empresa]]&amp;tbl_hojascb_estado_hoy[[#This Row],[hoja_cb]]</f>
        <v>AGROTAControl Buffers.xlsm</v>
      </c>
    </row>
    <row r="5" spans="1:20" x14ac:dyDescent="0.25">
      <c r="A5" t="s">
        <v>0</v>
      </c>
      <c r="B5" t="s">
        <v>250</v>
      </c>
      <c r="C5">
        <v>1</v>
      </c>
      <c r="D5">
        <v>1</v>
      </c>
      <c r="E5" s="24">
        <v>43237.484907407408</v>
      </c>
      <c r="F5" s="24">
        <v>43237.486157407409</v>
      </c>
      <c r="G5" s="24">
        <v>43238.454039351855</v>
      </c>
      <c r="I5">
        <v>228</v>
      </c>
      <c r="J5">
        <v>0</v>
      </c>
      <c r="K5">
        <v>58</v>
      </c>
      <c r="L5">
        <v>45</v>
      </c>
      <c r="M5">
        <v>887309.09</v>
      </c>
      <c r="N5">
        <v>290972.53000000003</v>
      </c>
      <c r="O5">
        <v>399712.76</v>
      </c>
      <c r="P5">
        <v>0</v>
      </c>
      <c r="Q5">
        <v>1425.32</v>
      </c>
      <c r="R5">
        <v>692110.61</v>
      </c>
      <c r="S5">
        <v>690685.29</v>
      </c>
      <c r="T5" s="2" t="str">
        <f>tbl_hojascb_estado_hoy[[#This Row],[empresa]]&amp;tbl_hojascb_estado_hoy[[#This Row],[hoja_cb]]</f>
        <v>AGROTAMaquinas ECHO - SHINDAIWA.xlsm</v>
      </c>
    </row>
    <row r="6" spans="1:20" x14ac:dyDescent="0.25">
      <c r="A6" t="s">
        <v>0</v>
      </c>
      <c r="B6" t="s">
        <v>300</v>
      </c>
      <c r="C6">
        <v>1</v>
      </c>
      <c r="D6">
        <v>1</v>
      </c>
      <c r="E6" s="24">
        <v>43237.484907407408</v>
      </c>
      <c r="F6" s="24">
        <v>43237.486157407409</v>
      </c>
      <c r="G6" s="24">
        <v>43237.874016203707</v>
      </c>
      <c r="I6">
        <v>220</v>
      </c>
      <c r="J6">
        <v>0</v>
      </c>
      <c r="K6">
        <v>1282</v>
      </c>
      <c r="L6">
        <v>1171</v>
      </c>
      <c r="M6">
        <v>97900.01</v>
      </c>
      <c r="N6">
        <v>120353.16</v>
      </c>
      <c r="O6">
        <v>8221.1</v>
      </c>
      <c r="P6">
        <v>0</v>
      </c>
      <c r="Q6">
        <v>2012.8</v>
      </c>
      <c r="R6">
        <v>130587.06</v>
      </c>
      <c r="S6">
        <v>128574.26</v>
      </c>
      <c r="T6" s="2"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300</v>
      </c>
      <c r="D2" s="6">
        <v>1</v>
      </c>
      <c r="E2" s="6" t="s">
        <v>104</v>
      </c>
      <c r="F2" s="6">
        <v>1</v>
      </c>
      <c r="G2" s="26">
        <v>43235.968240740738</v>
      </c>
      <c r="H2" s="26">
        <v>43235.97042824074</v>
      </c>
      <c r="I2" s="25">
        <f>tbl_Fechas_Refrescado[[#This Row],[FIN]]-tbl_Fechas_Refrescado[[#This Row],[INICIO]]</f>
        <v>2.1875000020372681E-3</v>
      </c>
      <c r="J2" s="25"/>
      <c r="K2" s="22">
        <v>190</v>
      </c>
      <c r="L2" s="22">
        <v>0</v>
      </c>
      <c r="M2" s="22">
        <v>1282</v>
      </c>
      <c r="N2" s="22">
        <v>1171</v>
      </c>
      <c r="O2" s="23">
        <v>99809</v>
      </c>
      <c r="P2" s="23">
        <v>120477</v>
      </c>
      <c r="Q2" s="23">
        <v>49333</v>
      </c>
      <c r="V2" s="24"/>
    </row>
    <row r="3" spans="2:22" x14ac:dyDescent="0.25">
      <c r="B3" t="s">
        <v>0</v>
      </c>
      <c r="C3" t="s">
        <v>250</v>
      </c>
      <c r="D3" s="6">
        <v>1</v>
      </c>
      <c r="E3" s="6" t="s">
        <v>104</v>
      </c>
      <c r="F3" s="6">
        <v>1</v>
      </c>
      <c r="G3" s="26">
        <v>43235.966423611113</v>
      </c>
      <c r="H3" s="26">
        <v>43235.967766203707</v>
      </c>
      <c r="I3" s="25">
        <f>tbl_Fechas_Refrescado[[#This Row],[FIN]]-tbl_Fechas_Refrescado[[#This Row],[INICIO]]</f>
        <v>1.3425925935734995E-3</v>
      </c>
      <c r="J3" s="25"/>
      <c r="K3" s="22">
        <v>228</v>
      </c>
      <c r="L3" s="22">
        <v>0</v>
      </c>
      <c r="M3" s="22">
        <v>57</v>
      </c>
      <c r="N3" s="22">
        <v>45</v>
      </c>
      <c r="O3" s="23">
        <v>887484</v>
      </c>
      <c r="P3" s="23">
        <v>289591</v>
      </c>
      <c r="Q3" s="23">
        <v>209520</v>
      </c>
    </row>
    <row r="4" spans="2:22" x14ac:dyDescent="0.25">
      <c r="B4" t="s">
        <v>0</v>
      </c>
      <c r="C4" t="s">
        <v>253</v>
      </c>
      <c r="D4" s="6">
        <v>1</v>
      </c>
      <c r="E4" s="6" t="s">
        <v>104</v>
      </c>
      <c r="F4" s="6">
        <v>1</v>
      </c>
      <c r="G4" s="26">
        <v>43235.964768518519</v>
      </c>
      <c r="H4" s="26">
        <v>43235.965983796297</v>
      </c>
      <c r="I4" s="25">
        <f>tbl_Fechas_Refrescado[[#This Row],[FIN]]-tbl_Fechas_Refrescado[[#This Row],[INICIO]]</f>
        <v>1.2152777781011537E-3</v>
      </c>
      <c r="J4" s="25"/>
      <c r="K4" s="22">
        <v>174</v>
      </c>
      <c r="L4" s="22">
        <v>0</v>
      </c>
      <c r="M4" s="22">
        <v>80</v>
      </c>
      <c r="N4" s="22">
        <v>63</v>
      </c>
      <c r="O4" s="23">
        <v>108456</v>
      </c>
      <c r="P4" s="23">
        <v>43626</v>
      </c>
      <c r="Q4" s="23">
        <v>66202</v>
      </c>
    </row>
    <row r="5" spans="2:22" x14ac:dyDescent="0.25">
      <c r="B5" t="s">
        <v>105</v>
      </c>
      <c r="C5" s="6">
        <f>SUBTOTAL(103,tbl_Fechas_Refrescado[HOJA CB])</f>
        <v>3</v>
      </c>
      <c r="D5" s="6"/>
      <c r="E5" s="6"/>
      <c r="F5" s="6"/>
      <c r="G5" s="26">
        <f>SUBTOTAL(105,tbl_Fechas_Refrescado[INICIO])</f>
        <v>43235.964768518519</v>
      </c>
      <c r="H5" s="26">
        <f>SUBTOTAL(104,tbl_Fechas_Refrescado[FIN])</f>
        <v>43235.97042824074</v>
      </c>
      <c r="I5" s="25">
        <f>SUBTOTAL(109,tbl_Fechas_Refrescado[DURACIÓN])</f>
        <v>4.7453703737119213E-3</v>
      </c>
      <c r="J5" s="25"/>
      <c r="K5" s="6">
        <f>SUBTOTAL(104,tbl_Fechas_Refrescado[DIAS PERIODO])</f>
        <v>228</v>
      </c>
      <c r="L5" s="6">
        <f>SUBTOTAL(109,tbl_Fechas_Refrescado[DUPLICADOS])</f>
        <v>0</v>
      </c>
      <c r="M5" s="6">
        <f>SUBTOTAL(109,tbl_Fechas_Refrescado[SKUs Totales])</f>
        <v>1419</v>
      </c>
      <c r="N5" s="6">
        <f>SUBTOTAL(109,tbl_Fechas_Refrescado[SKUs Buffer])</f>
        <v>1279</v>
      </c>
      <c r="O5" s="23">
        <f>SUBTOTAL(109,tbl_Fechas_Refrescado[COSTO BUFFER])</f>
        <v>1095749</v>
      </c>
      <c r="P5" s="23">
        <f>SUBTOTAL(109,tbl_Fechas_Refrescado[COSTO FISICO])</f>
        <v>453694</v>
      </c>
      <c r="Q5" s="23">
        <f>SUBTOTAL(109,tbl_Fechas_Refrescado[COSTO TRANSITO])</f>
        <v>325055</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3750">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-1386</v>
      </c>
    </row>
    <row r="4" spans="1:3" x14ac:dyDescent="0.25">
      <c r="A4" s="1" t="s">
        <v>75</v>
      </c>
      <c r="B4" s="16">
        <v>41866</v>
      </c>
      <c r="C4" s="7">
        <f ca="1">Tabla_DIAS_RESTANTES[[#This Row],[FIN PERÍODO]]-TODAY()</f>
        <v>-1372</v>
      </c>
    </row>
    <row r="5" spans="1:3" x14ac:dyDescent="0.25">
      <c r="A5" s="1" t="s">
        <v>77</v>
      </c>
      <c r="B5" s="16">
        <v>41866</v>
      </c>
      <c r="C5" s="7">
        <f ca="1">Tabla_DIAS_RESTANTES[[#This Row],[FIN PERÍODO]]-TODAY()</f>
        <v>-1372</v>
      </c>
    </row>
    <row r="6" spans="1:3" x14ac:dyDescent="0.25">
      <c r="A6" s="1" t="s">
        <v>72</v>
      </c>
      <c r="B6" s="16">
        <v>41873</v>
      </c>
      <c r="C6" s="7">
        <f ca="1">Tabla_DIAS_RESTANTES[[#This Row],[FIN PERÍODO]]-TODAY()</f>
        <v>-1365</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3"/>
  <sheetViews>
    <sheetView topLeftCell="B1" workbookViewId="0">
      <selection activeCell="P2" sqref="P2:P3"/>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250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43235.96429398148</v>
      </c>
    </row>
    <row r="2" spans="1:2" x14ac:dyDescent="0.25">
      <c r="A2" t="s">
        <v>66</v>
      </c>
      <c r="B2" s="17">
        <v>43235.970729166664</v>
      </c>
    </row>
    <row r="4" spans="1:2" x14ac:dyDescent="0.25">
      <c r="A4" t="s">
        <v>67</v>
      </c>
      <c r="B4" s="18">
        <f>IF((FINREFRESCADO-INICIOREFRESCADO)&gt;0,FINREFRESCADO-INICIOREFRESCADO,"")</f>
        <v>6.435185183363501E-3</v>
      </c>
    </row>
    <row r="6" spans="1:2" x14ac:dyDescent="0.25">
      <c r="A6" t="s">
        <v>123</v>
      </c>
      <c r="B6" t="s">
        <v>262</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34.85546875" bestFit="1" customWidth="1"/>
    <col min="3" max="3" width="25.28515625" bestFit="1" customWidth="1"/>
  </cols>
  <sheetData>
    <row r="1" spans="1:3" ht="38.25" customHeight="1" x14ac:dyDescent="0.25">
      <c r="A1" t="s">
        <v>253</v>
      </c>
      <c r="B1" t="s">
        <v>250</v>
      </c>
      <c r="C1" t="s">
        <v>300</v>
      </c>
    </row>
    <row r="2" spans="1:3" x14ac:dyDescent="0.25">
      <c r="A2" t="s">
        <v>254</v>
      </c>
      <c r="B2" t="s">
        <v>254</v>
      </c>
      <c r="C2" t="s">
        <v>254</v>
      </c>
    </row>
    <row r="3" spans="1:3" x14ac:dyDescent="0.25">
      <c r="A3" t="s">
        <v>255</v>
      </c>
      <c r="B3" t="s">
        <v>255</v>
      </c>
      <c r="C3" t="s">
        <v>255</v>
      </c>
    </row>
    <row r="4" spans="1:3" x14ac:dyDescent="0.25">
      <c r="A4" t="s">
        <v>256</v>
      </c>
      <c r="B4" t="s">
        <v>256</v>
      </c>
      <c r="C4" t="s">
        <v>256</v>
      </c>
    </row>
    <row r="5" spans="1:3" x14ac:dyDescent="0.25">
      <c r="A5" t="s">
        <v>257</v>
      </c>
      <c r="B5" t="s">
        <v>257</v>
      </c>
      <c r="C5" t="s">
        <v>257</v>
      </c>
    </row>
    <row r="6" spans="1:3" x14ac:dyDescent="0.25">
      <c r="A6" t="s">
        <v>258</v>
      </c>
      <c r="B6" t="s">
        <v>259</v>
      </c>
      <c r="C6" t="s">
        <v>258</v>
      </c>
    </row>
    <row r="7" spans="1:3" x14ac:dyDescent="0.25">
      <c r="A7" t="s">
        <v>259</v>
      </c>
      <c r="C7" t="s">
        <v>259</v>
      </c>
    </row>
    <row r="8" spans="1:3" x14ac:dyDescent="0.25">
      <c r="A8" t="s">
        <v>260</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302</v>
      </c>
    </row>
    <row r="3" spans="1:3" x14ac:dyDescent="0.25">
      <c r="A3" t="s">
        <v>0</v>
      </c>
      <c r="B3" t="s">
        <v>250</v>
      </c>
      <c r="C3" t="s">
        <v>251</v>
      </c>
    </row>
    <row r="4" spans="1:3" x14ac:dyDescent="0.25">
      <c r="A4" t="s">
        <v>0</v>
      </c>
      <c r="B4" t="s">
        <v>300</v>
      </c>
      <c r="C4" t="s">
        <v>301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D93B1A9-CB65-4398-B4EA-A0BEB2ABDB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32</vt:i4>
      </vt:variant>
    </vt:vector>
  </HeadingPairs>
  <TitlesOfParts>
    <vt:vector size="33"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2018-05-18T21:20:33Z</dcterms:modified>
</cp:coreProperties>
</file>