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BUFFER\Document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CENTROCONTROL!$I$5</definedName>
    <definedName name="ACTUALIZACIONCONSUMO">CENTROCONTROL!$I$8</definedName>
    <definedName name="ACTUALIZACIONHISTRANSFER">CENTROCONTROL!$M$9</definedName>
    <definedName name="ACTUALIZACIONINVENTARIO">CENTROCONTROL!$I$7</definedName>
    <definedName name="ACTUALIZACIONPRODUCTO">CENTROCONTROL!$I$6</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EMPRESA!$A$1:$A$2</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CENTROCONTROL!$CS$1</definedName>
    <definedName name="FINREFRESCADO">DURACION!$B$2</definedName>
    <definedName name="HojasCB_cla">USER!$B$4</definedName>
    <definedName name="HojasCB_tipo_us">USER!$C$4</definedName>
    <definedName name="HojasCB_user">USER!$A$4</definedName>
    <definedName name="HORAAPAGADO">CENTROCONTROL!$I$11</definedName>
    <definedName name="HORAIMPORTACION">CENTROCONTROL!$I$10</definedName>
    <definedName name="HORAREFRESCADO">CENTROCONTROL!$I$9</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CENTROCONTROL!$GC$126</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CENTROCONTROL!$GB$126</definedName>
    <definedName name="version">CENTROCONTROL!$J$1</definedName>
  </definedNames>
  <calcPr calcId="152511"/>
</workbook>
</file>

<file path=xl/calcChain.xml><?xml version="1.0" encoding="utf-8"?>
<calcChain xmlns="http://schemas.openxmlformats.org/spreadsheetml/2006/main">
  <c r="B1" i="1" l="1"/>
  <c r="U2" i="36"/>
  <c r="T14" i="1" s="1"/>
  <c r="U3" i="36"/>
  <c r="U4" i="36"/>
  <c r="U5" i="36"/>
  <c r="U6" i="36"/>
  <c r="U7" i="36"/>
  <c r="U8" i="36"/>
  <c r="U9" i="36"/>
  <c r="U10" i="36"/>
  <c r="U11" i="36"/>
  <c r="U12" i="36"/>
  <c r="U13" i="36"/>
  <c r="U14" i="36"/>
  <c r="C2" i="24"/>
  <c r="C3" i="24"/>
  <c r="C4" i="24"/>
  <c r="C5" i="24"/>
  <c r="C6" i="24"/>
  <c r="B14" i="1" l="1"/>
  <c r="D14" i="1"/>
  <c r="F14" i="1"/>
  <c r="H14" i="1"/>
  <c r="J14" i="1"/>
  <c r="L14" i="1"/>
  <c r="N14" i="1"/>
  <c r="P14" i="1"/>
  <c r="R14" i="1"/>
  <c r="C14" i="1"/>
  <c r="E14" i="1"/>
  <c r="G14" i="1"/>
  <c r="I14" i="1"/>
  <c r="K14" i="1"/>
  <c r="M14" i="1"/>
  <c r="O14" i="1"/>
  <c r="S14" i="1"/>
  <c r="Q14" i="1" l="1"/>
  <c r="A73" i="34"/>
  <c r="A72" i="34"/>
  <c r="A71" i="34"/>
  <c r="A70" i="34"/>
  <c r="A69" i="34"/>
  <c r="A68" i="34"/>
  <c r="A67" i="34"/>
  <c r="A66" i="34"/>
  <c r="A65" i="34"/>
  <c r="A64" i="34"/>
  <c r="A63" i="34"/>
  <c r="A62" i="34"/>
  <c r="A61" i="34"/>
  <c r="A60" i="34"/>
  <c r="C3" i="30" l="1"/>
  <c r="G3" i="30"/>
  <c r="H3" i="30"/>
  <c r="K3" i="30"/>
  <c r="L3" i="30"/>
  <c r="M3" i="30"/>
  <c r="N3" i="30"/>
  <c r="O3" i="30"/>
  <c r="P3" i="30"/>
  <c r="Q3" i="30"/>
  <c r="I3" i="30"/>
  <c r="A59" i="34" l="1"/>
  <c r="A58" i="34"/>
  <c r="A57" i="34"/>
  <c r="A56" i="34"/>
  <c r="A55" i="34"/>
  <c r="A54" i="34"/>
  <c r="A53" i="34"/>
  <c r="A52" i="34"/>
  <c r="A51" i="34"/>
  <c r="A50" i="34"/>
  <c r="A49" i="34"/>
  <c r="A48" i="34"/>
  <c r="A47" i="34"/>
  <c r="A46" i="34"/>
  <c r="A45" i="34"/>
  <c r="A44" i="34"/>
  <c r="A43" i="34"/>
  <c r="P15" i="1" l="1"/>
  <c r="I8" i="1" l="1"/>
  <c r="I6" i="1"/>
  <c r="I7" i="1"/>
  <c r="I5" i="1"/>
  <c r="O15" i="1" l="1"/>
  <c r="B15" i="1"/>
  <c r="I3" i="1"/>
  <c r="A15" i="1" l="1"/>
  <c r="J15" i="1" l="1"/>
  <c r="I15" i="1"/>
  <c r="K15" i="1"/>
  <c r="M15" i="1"/>
  <c r="D15" i="1"/>
  <c r="L15" i="1"/>
  <c r="C15" i="1"/>
  <c r="Q15" i="1" l="1"/>
  <c r="H15" i="1"/>
  <c r="G15" i="1"/>
  <c r="F15" i="1"/>
  <c r="E15"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CS1" authorId="0" shapeId="0">
      <text>
        <r>
          <rPr>
            <b/>
            <sz val="9"/>
            <color indexed="81"/>
            <rFont val="Tahoma"/>
            <family val="2"/>
          </rPr>
          <t>RAMCAS:</t>
        </r>
        <r>
          <rPr>
            <sz val="9"/>
            <color indexed="81"/>
            <rFont val="Tahoma"/>
            <family val="2"/>
          </rPr>
          <t xml:space="preserve">
Fecha en la cual se ha hecho el refrescado completo.</t>
        </r>
      </text>
    </commen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de actualización del archivo bodega.txt provisto por el ERP.</t>
        </r>
      </text>
    </comment>
    <comment ref="I6" authorId="0" shapeId="0">
      <text>
        <r>
          <rPr>
            <b/>
            <sz val="9"/>
            <color indexed="81"/>
            <rFont val="Tahoma"/>
            <family val="2"/>
          </rPr>
          <t>RAMCAS:</t>
        </r>
        <r>
          <rPr>
            <sz val="9"/>
            <color indexed="81"/>
            <rFont val="Tahoma"/>
            <family val="2"/>
          </rPr>
          <t xml:space="preserve">
Fecha de actualización del archivo producto.txt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consumo.txt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se apaga automáticamente CCB.</t>
        </r>
      </text>
    </comment>
    <comment ref="A13"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3"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3"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3"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3"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3"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3"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3"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3" authorId="0" shapeId="0">
      <text>
        <r>
          <rPr>
            <b/>
            <sz val="9"/>
            <color indexed="81"/>
            <rFont val="Tahoma"/>
            <family val="2"/>
          </rPr>
          <t>RAMCAS:</t>
        </r>
        <r>
          <rPr>
            <sz val="9"/>
            <color indexed="81"/>
            <rFont val="Tahoma"/>
            <family val="2"/>
          </rPr>
          <t xml:space="preserve">
Es el COSTO FÍSICO + COSTO TRÁNSITO.</t>
        </r>
      </text>
    </comment>
    <comment ref="J13"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3"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3"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3"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3"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3"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3"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3" authorId="0" shapeId="0">
      <text>
        <r>
          <rPr>
            <b/>
            <sz val="9"/>
            <color indexed="81"/>
            <rFont val="Tahoma"/>
            <family val="2"/>
          </rPr>
          <t>RAMCAS:</t>
        </r>
        <r>
          <rPr>
            <sz val="9"/>
            <color indexed="81"/>
            <rFont val="Tahoma"/>
            <family val="2"/>
          </rPr>
          <t xml:space="preserve">
La duración del último refrescado de la presente Hoja CB.</t>
        </r>
      </text>
    </comment>
    <comment ref="R13"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3"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<sst xmlns="http://schemas.openxmlformats.org/spreadsheetml/2006/main" count="426" uniqueCount="295">
  <si>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</si>
  <si>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</si>
  <si>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</si>
  <si>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</si>
  <si>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</si>
  <si>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</si>
  <si>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</si>
  <si>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</si>
  <si>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</si>
  <si>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</si>
  <si>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</si>
  <si>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</si>
  <si>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</si>
  <si>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</si>
  <si>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</si>
  <si>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</si>
  <si>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</si>
  <si>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</si>
  <si>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</si>
  <si>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</si>
  <si>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</si>
  <si>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</si>
  <si>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</si>
  <si>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</si>
  <si>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</si>
  <si>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</si>
  <si>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</si>
  <si>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</si>
  <si>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</si>
  <si>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</si>
  <si>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</si>
  <si>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</si>
  <si>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</si>
  <si>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</si>
  <si>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</si>
  <si>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</si>
  <si>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</si>
  <si>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</si>
  <si>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</si>
  <si>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</si>
  <si>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</si>
  <si>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</si>
  <si>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</si>
  <si>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</si>
  <si>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</si>
  <si>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</si>
  <si>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</si>
  <si>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</si>
  <si>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</si>
  <si>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</si>
  <si>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</si>
  <si>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</si>
  <si>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</si>
  <si>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</si>
  <si>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</si>
  <si>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</si>
  <si>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</si>
  <si>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</si>
  <si>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</si>
  <si>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</si>
  <si>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</si>
  <si>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</si>
  <si>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</si>
  <si>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</si>
  <si>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</si>
  <si>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</si>
  <si>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</si>
  <si>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</si>
  <si>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</si>
  <si>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</si>
  <si>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</si>
  <si>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</si>
  <si>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</si>
  <si>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</si>
  <si>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</si>
  <si>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</si>
  <si>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</si>
  <si>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</si>
  <si>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</si>
  <si>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</si>
  <si>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</si>
  <si>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</si>
  <si>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</si>
  <si>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</si>
  <si>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</si>
  <si>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</si>
  <si>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</si>
  <si>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</si>
  <si>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</si>
  <si>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</si>
  <si>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</si>
  <si>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</si>
  <si>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</si>
  <si>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</si>
  <si>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</si>
  <si>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</si>
  <si>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</si>
  <si>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</si>
  <si>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</si>
  <si>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</si>
  <si>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</si>
  <si>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</si>
  <si>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</si>
  <si>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</si>
  <si>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</si>
  <si>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</si>
  <si>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</si>
  <si>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</si>
  <si>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</si>
  <si>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</si>
  <si>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</si>
  <si>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</si>
  <si>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</si>
  <si>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</si>
  <si>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</si>
  <si>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</si>
  <si>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</si>
  <si>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</si>
  <si>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</si>
  <si>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</si>
  <si>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</si>
  <si>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</si>
  <si>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</si>
  <si>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</si>
  <si>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</si>
  <si>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</si>
  <si>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</si>
  <si>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</si>
  <si>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</si>
  <si>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</si>
  <si>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</si>
  <si>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</si>
  <si>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</si>
  <si>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</si>
  <si>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</si>
  <si>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</si>
  <si>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</si>
  <si>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</si>
  <si>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</si>
  <si>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</si>
  <si>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</si>
  <si>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</si>
  <si>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</si>
  <si>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</si>
  <si>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</si>
  <si>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</si>
  <si>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</si>
  <si>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</si>
  <si>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</si>
  <si>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</si>
  <si>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</si>
  <si>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</si>
  <si>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</si>
  <si>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</si>
  <si>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Usuario: admin</t>
  </si>
  <si>
    <t>admin</t>
  </si>
  <si>
    <t>Hojas CB</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</si>
  <si>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</si>
  <si>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</si>
  <si>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</si>
  <si>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</si>
  <si>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</si>
  <si>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</si>
  <si>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</si>
  <si>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</si>
  <si>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</si>
  <si>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</si>
  <si>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</si>
  <si>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</si>
  <si>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</si>
  <si>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</si>
  <si>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</si>
  <si>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</si>
  <si>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</si>
  <si>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</si>
  <si>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</si>
  <si>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</si>
  <si>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</si>
  <si>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</si>
  <si>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</si>
  <si>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</si>
  <si>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</si>
  <si>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</si>
  <si>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</si>
  <si>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</si>
  <si>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</si>
  <si>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</si>
  <si>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</si>
  <si>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</si>
  <si>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</si>
  <si>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</si>
  <si>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</si>
  <si>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</si>
  <si>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</si>
  <si>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</si>
  <si>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</si>
  <si>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</si>
  <si>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</si>
  <si>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</si>
  <si>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</si>
  <si>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</si>
  <si>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</si>
  <si>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</si>
  <si>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</si>
  <si>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</si>
  <si>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</si>
  <si>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</si>
  <si>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</si>
  <si>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</si>
  <si>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</si>
  <si>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</si>
  <si>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</si>
  <si>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</si>
  <si>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</si>
  <si>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</si>
  <si>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</si>
  <si>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</si>
  <si>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</si>
  <si>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</si>
  <si>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</si>
  <si>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</si>
  <si>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alertas</t>
  </si>
  <si>
    <t>Completo</t>
  </si>
  <si>
    <t>DATOS MANUALES</t>
  </si>
  <si>
    <t>Un Buffer toma en cuenta la demanda y los tiempos de reposición.</t>
  </si>
  <si>
    <t>Tiempo Confiable de Reposición = Tiempo de Suministro + Frecuencia de Reposición.</t>
  </si>
  <si>
    <t>Tiempo de Suministro es el tiempo que nuestro proveedor se demora en entregarnos la mercadería desde que hacemos el pedido.</t>
  </si>
  <si>
    <t>Frecuencia de Reposición es cuánto tiempo pasa entre pedidos de un ítem.</t>
  </si>
  <si>
    <t>Buffer = Promedio Demanda x Factor Pico x (T. Suministro + Frecuencia Reposición)</t>
  </si>
  <si>
    <t>Los tiempos de suministro se definen en los perfiles de reposición.</t>
  </si>
  <si>
    <t>Las frecuencias de reposición se definen en los perfiles de reposición.</t>
  </si>
  <si>
    <t>Las bodegas deben tener su relación explícita con sus proveedores en RAMCAS Web.</t>
  </si>
  <si>
    <t>Cada usuario es responsable de los ítems que maneja.</t>
  </si>
  <si>
    <t>Las reposiciones correctas le dan vida al Buffer.</t>
  </si>
  <si>
    <t>El Comprometido es inventario que la empresa ya tiene reservado para uno o más clientes.</t>
  </si>
  <si>
    <t>El Backorder es inventario que nuestros proveedores están debiéndonos.</t>
  </si>
  <si>
    <t>Una reposición se calcula preguntándonos ¿Tenemos cuánto? ¿Entonces cuánto falta para llenar el buffer?</t>
  </si>
  <si>
    <t>Si un controlador de buffers conoce que algo puede cambiar la demanda, debe actuar proactivamente.</t>
  </si>
  <si>
    <t>MOTORALMOR</t>
  </si>
  <si>
    <t>BP-MATRIZ</t>
  </si>
  <si>
    <t xml:space="preserve">1159 - </t>
  </si>
  <si>
    <t xml:space="preserve">1103 - </t>
  </si>
  <si>
    <t>3366 - DY</t>
  </si>
  <si>
    <t xml:space="preserve">2679 - </t>
  </si>
  <si>
    <t xml:space="preserve">1193 - </t>
  </si>
  <si>
    <t xml:space="preserve">1297 - </t>
  </si>
  <si>
    <t xml:space="preserve">1367 - </t>
  </si>
  <si>
    <t xml:space="preserve">1415 - </t>
  </si>
  <si>
    <t xml:space="preserve">1500 - </t>
  </si>
  <si>
    <t xml:space="preserve">1503 - </t>
  </si>
  <si>
    <t xml:space="preserve">1554 - </t>
  </si>
  <si>
    <t xml:space="preserve">1706 - </t>
  </si>
  <si>
    <t xml:space="preserve">1738 - </t>
  </si>
  <si>
    <t xml:space="preserve">1838 - </t>
  </si>
  <si>
    <t xml:space="preserve">1897 - </t>
  </si>
  <si>
    <t xml:space="preserve">1942 - </t>
  </si>
  <si>
    <t xml:space="preserve">243 - </t>
  </si>
  <si>
    <t xml:space="preserve">410 - </t>
  </si>
  <si>
    <t xml:space="preserve">622 - </t>
  </si>
  <si>
    <t xml:space="preserve">2961 - </t>
  </si>
  <si>
    <t>3934 - PI</t>
  </si>
  <si>
    <t xml:space="preserve">847 - </t>
  </si>
  <si>
    <t>IMPORTACION</t>
  </si>
  <si>
    <t xml:space="preserve">2078 - </t>
  </si>
  <si>
    <t xml:space="preserve">2095 - </t>
  </si>
  <si>
    <t xml:space="preserve">2201 - </t>
  </si>
  <si>
    <t xml:space="preserve">1253 - </t>
  </si>
  <si>
    <t xml:space="preserve">3272 - </t>
  </si>
  <si>
    <t>3552 - RI</t>
  </si>
  <si>
    <t>3557 - VA</t>
  </si>
  <si>
    <t>3558 - E</t>
  </si>
  <si>
    <t>3469 -</t>
  </si>
  <si>
    <t xml:space="preserve">3753 - </t>
  </si>
  <si>
    <t>462 -</t>
  </si>
  <si>
    <t>3759</t>
  </si>
  <si>
    <t xml:space="preserve">3106 - </t>
  </si>
  <si>
    <t>3760 -</t>
  </si>
  <si>
    <t>+</t>
  </si>
  <si>
    <t>ADICIONALES.xlsm</t>
  </si>
  <si>
    <t>CBGX.xlsm</t>
  </si>
  <si>
    <t>CTJE.xlsm</t>
  </si>
  <si>
    <t>ORJF.xlsm</t>
  </si>
  <si>
    <t>RRFA.xlsm</t>
  </si>
  <si>
    <t>O:\RRFA.xlsm</t>
  </si>
  <si>
    <t>TVLM.xlsm</t>
  </si>
  <si>
    <t>PRODUCTO</t>
  </si>
  <si>
    <t>INVENTARIO</t>
  </si>
  <si>
    <t>CONSUMO</t>
  </si>
  <si>
    <t>CPAI.xlsm</t>
  </si>
  <si>
    <t>SCMG.xlsm</t>
  </si>
  <si>
    <t>MJJS.xlsm</t>
  </si>
  <si>
    <t>250 Mal Atendido Cantidad</t>
  </si>
  <si>
    <t>1 Sobre atendido Cantidad</t>
  </si>
  <si>
    <t>165 Sugerencia GDB</t>
  </si>
  <si>
    <t>286 Comportamiento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</si>
</sst>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 numFmtId="174" formatCode="mmmm\-yy"/>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7">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xf numFmtId="174" fontId="11" fillId="5" borderId="0" xfId="0" applyNumberFormat="1" applyFont="1" applyFill="1" applyBorder="1" applyAlignment="1">
      <alignment horizontal="left"/>
    </xf>
  </cellXfs>
  <cellStyles count="3">
    <cellStyle name="Normal" xfId="0" builtinId="0"/>
    <cellStyle name="Normal 2" xfId="1"/>
    <cellStyle name="Título" xfId="2" builtinId="15"/>
  </cellStyles>
  <dxfs count="13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theme="0"/>
      </font>
      <fill>
        <patternFill>
          <bgColor rgb="FFC000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trae_Bodega" lockText="1" noThreeD="1"/>
</file>

<file path=xl/ctrlProps/ctrlProp5.xml><?xml version="1.0" encoding="utf-8"?>
<formControlPr xmlns="http://schemas.microsoft.com/office/spreadsheetml/2009/9/main" objectType="CheckBox" checked="Checked" fmlaLink="trae_Inventario" lockText="1" noThreeD="1"/>
</file>

<file path=xl/ctrlProps/ctrlProp6.xml><?xml version="1.0" encoding="utf-8"?>
<formControlPr xmlns="http://schemas.microsoft.com/office/spreadsheetml/2009/9/main" objectType="CheckBox" checked="Checked" fmlaLink="trae_Producto" lockText="1" noThreeD="1"/>
</file>

<file path=xl/ctrlProps/ctrlProp7.xml><?xml version="1.0" encoding="utf-8"?>
<formControlPr xmlns="http://schemas.microsoft.com/office/spreadsheetml/2009/9/main" objectType="CheckBox" checked="Checked" fmlaLink="trae_Consum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4.emf"/><Relationship Id="rId6"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6.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v3.9.3</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640"/>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4</xdr:row>
          <xdr:rowOff>19050</xdr:rowOff>
        </xdr:from>
        <xdr:to>
          <xdr:col>5</xdr:col>
          <xdr:colOff>819150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23695</xdr:rowOff>
    </xdr:from>
    <xdr:to>
      <xdr:col>0</xdr:col>
      <xdr:colOff>1906322</xdr:colOff>
      <xdr:row>11</xdr:row>
      <xdr:rowOff>105179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1928695"/>
          <a:ext cx="262599" cy="271984"/>
        </a:xfrm>
        <a:prstGeom prst="rect">
          <a:avLst/>
        </a:prstGeom>
      </xdr:spPr>
    </xdr:pic>
    <xdr:clientData/>
  </xdr:twoCellAnchor>
  <xdr:twoCellAnchor editAs="oneCell">
    <xdr:from>
      <xdr:col>0</xdr:col>
      <xdr:colOff>308873</xdr:colOff>
      <xdr:row>10</xdr:row>
      <xdr:rowOff>21656</xdr:rowOff>
    </xdr:from>
    <xdr:to>
      <xdr:col>0</xdr:col>
      <xdr:colOff>692505</xdr:colOff>
      <xdr:row>11</xdr:row>
      <xdr:rowOff>119156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1926656"/>
          <a:ext cx="383632" cy="288000"/>
        </a:xfrm>
        <a:prstGeom prst="rect">
          <a:avLst/>
        </a:prstGeom>
      </xdr:spPr>
    </xdr:pic>
    <xdr:clientData/>
  </xdr:twoCellAnchor>
  <xdr:twoCellAnchor editAs="oneCell">
    <xdr:from>
      <xdr:col>0</xdr:col>
      <xdr:colOff>38961</xdr:colOff>
      <xdr:row>10</xdr:row>
      <xdr:rowOff>21656</xdr:rowOff>
    </xdr:from>
    <xdr:to>
      <xdr:col>0</xdr:col>
      <xdr:colOff>271849</xdr:colOff>
      <xdr:row>11</xdr:row>
      <xdr:rowOff>119156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1926656"/>
          <a:ext cx="232888" cy="288000"/>
        </a:xfrm>
        <a:prstGeom prst="rect">
          <a:avLst/>
        </a:prstGeom>
      </xdr:spPr>
    </xdr:pic>
    <xdr:clientData/>
  </xdr:twoCellAnchor>
  <xdr:twoCellAnchor editAs="oneCell">
    <xdr:from>
      <xdr:col>0</xdr:col>
      <xdr:colOff>729529</xdr:colOff>
      <xdr:row>10</xdr:row>
      <xdr:rowOff>21656</xdr:rowOff>
    </xdr:from>
    <xdr:to>
      <xdr:col>0</xdr:col>
      <xdr:colOff>945529</xdr:colOff>
      <xdr:row>11</xdr:row>
      <xdr:rowOff>119156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1926656"/>
          <a:ext cx="216000" cy="288000"/>
        </a:xfrm>
        <a:prstGeom prst="rect">
          <a:avLst/>
        </a:prstGeom>
      </xdr:spPr>
    </xdr:pic>
    <xdr:clientData/>
  </xdr:twoCellAnchor>
  <xdr:twoCellAnchor editAs="oneCell">
    <xdr:from>
      <xdr:col>0</xdr:col>
      <xdr:colOff>1148292</xdr:colOff>
      <xdr:row>10</xdr:row>
      <xdr:rowOff>57656</xdr:rowOff>
    </xdr:from>
    <xdr:to>
      <xdr:col>0</xdr:col>
      <xdr:colOff>1562076</xdr:colOff>
      <xdr:row>11</xdr:row>
      <xdr:rowOff>119156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1962656"/>
          <a:ext cx="413784" cy="252000"/>
        </a:xfrm>
        <a:prstGeom prst="rect">
          <a:avLst/>
        </a:prstGeom>
      </xdr:spPr>
    </xdr:pic>
    <xdr:clientData/>
  </xdr:twoCellAnchor>
  <xdr:twoCellAnchor editAs="oneCell">
    <xdr:from>
      <xdr:col>0</xdr:col>
      <xdr:colOff>905742</xdr:colOff>
      <xdr:row>10</xdr:row>
      <xdr:rowOff>21656</xdr:rowOff>
    </xdr:from>
    <xdr:to>
      <xdr:col>0</xdr:col>
      <xdr:colOff>1121742</xdr:colOff>
      <xdr:row>11</xdr:row>
      <xdr:rowOff>119156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192665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3</xdr:row>
          <xdr:rowOff>161925</xdr:rowOff>
        </xdr:from>
        <xdr:to>
          <xdr:col>8</xdr:col>
          <xdr:colOff>180975</xdr:colOff>
          <xdr:row>5</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180975</xdr:colOff>
          <xdr:row>7</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4</xdr:row>
          <xdr:rowOff>180975</xdr:rowOff>
        </xdr:from>
        <xdr:to>
          <xdr:col>8</xdr:col>
          <xdr:colOff>190500</xdr:colOff>
          <xdr:row>6</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190500</xdr:colOff>
          <xdr:row>8</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1964532</xdr:colOff>
      <xdr:row>10</xdr:row>
      <xdr:rowOff>23695</xdr:rowOff>
    </xdr:from>
    <xdr:to>
      <xdr:col>1</xdr:col>
      <xdr:colOff>2251</xdr:colOff>
      <xdr:row>11</xdr:row>
      <xdr:rowOff>121195</xdr:rowOff>
    </xdr:to>
    <xdr:pic macro="[0]!Abre_Ayuda_de_Centrocontrol">
      <xdr:nvPicPr>
        <xdr:cNvPr id="6" name="Imagen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4532" y="1928695"/>
          <a:ext cx="288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J$14" spid="_x0000_s199374"/>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3:T15" totalsRowCount="1" headerRowDxfId="131" dataDxfId="130" totalsRowDxfId="129">
  <autoFilter ref="A13:T14"/>
  <sortState ref="A16:T17">
    <sortCondition ref="A15"/>
  </sortState>
  <tableColumns count="20">
    <tableColumn id="1" name="HOJAS" totalsRowFunction="custom" dataDxfId="128" totalsRowDxfId="50">
      <totalsRowFormula>"Total Hojas:  "&amp;SUBTOTAL(103,tbl_HojasCB[HOJAS])</totalsRowFormula>
    </tableColumn>
    <tableColumn id="20" name="ALERTAS" totalsRowFunction="sum" dataDxfId="127" totalsRowDxfId="49">
      <calculatedColumnFormula>IFERROR(INDEX(tbl_hojascb_estado_hoy[alertas],tbl_HojasCB[[#This Row],[Coincidir]]),"")</calculatedColumnFormula>
    </tableColumn>
    <tableColumn id="4" name="COSTO BUFFER" totalsRowFunction="sum" dataDxfId="126" totalsRowDxfId="48">
      <calculatedColumnFormula>IFERROR(INDEX(tbl_hojascb_estado_hoy[costo_buffer],tbl_HojasCB[[#This Row],[Coincidir]]),"")</calculatedColumnFormula>
    </tableColumn>
    <tableColumn id="5" name="COSTO FÍSICO" totalsRowFunction="sum" dataDxfId="125" totalsRowDxfId="47">
      <calculatedColumnFormula>IFERROR(INDEX(tbl_hojascb_estado_hoy[costo_fisico],tbl_HojasCB[[#This Row],[Coincidir]]),"")</calculatedColumnFormula>
    </tableColumn>
    <tableColumn id="6" name="COSTO TRÁNSITO" totalsRowFunction="sum" dataDxfId="124" totalsRowDxfId="46">
      <calculatedColumnFormula>IFERROR(INDEX(tbl_hojascb_estado_hoy[costo_transito],tbl_HojasCB[[#This Row],[Coincidir]]),"")</calculatedColumnFormula>
    </tableColumn>
    <tableColumn id="12" name="COSTO COMPROM" totalsRowFunction="sum" dataDxfId="123" totalsRowDxfId="45">
      <calculatedColumnFormula>IFERROR(INDEX(tbl_hojascb_estado_hoy[costo_comprometido],tbl_HojasCB[[#This Row],[Coincidir]]),"")</calculatedColumnFormula>
    </tableColumn>
    <tableColumn id="13" name="COSTO BACKORDER" totalsRowFunction="sum" dataDxfId="122" totalsRowDxfId="44">
      <calculatedColumnFormula>IFERROR(INDEX(tbl_hojascb_estado_hoy[costo_backorder],tbl_HojasCB[[#This Row],[Coincidir]]),"")</calculatedColumnFormula>
    </tableColumn>
    <tableColumn id="7" name="COSTO PROYECTADO" totalsRowFunction="sum" dataDxfId="121" totalsRowDxfId="43">
      <calculatedColumnFormula>IFERROR(INDEX(tbl_hojascb_estado_hoy[costo_proyectado],tbl_HojasCB[[#This Row],[Coincidir]]),"")</calculatedColumnFormula>
    </tableColumn>
    <tableColumn id="9" name="COSTO TOTAL" totalsRowFunction="sum" dataDxfId="120" totalsRowDxfId="42">
      <calculatedColumnFormula>IFERROR(INDEX(tbl_hojascb_estado_hoy[costo_total],tbl_HojasCB[[#This Row],[Coincidir]]),"")</calculatedColumnFormula>
    </tableColumn>
    <tableColumn id="2" name="ÍTEMS TOTALES" totalsRowFunction="sum" dataDxfId="119" totalsRowDxfId="41">
      <calculatedColumnFormula>IFERROR(INDEX(tbl_hojascb_estado_hoy[sku_totales],tbl_HojasCB[[#This Row],[Coincidir]]),"")</calculatedColumnFormula>
    </tableColumn>
    <tableColumn id="3" name="ÍTEMS CON BUFFER" totalsRowFunction="sum" dataDxfId="118" totalsRowDxfId="40">
      <calculatedColumnFormula>IFERROR(INDEX(tbl_hojascb_estado_hoy[sku_buffer],tbl_HojasCB[[#This Row],[Coincidir]]),"")</calculatedColumnFormula>
    </tableColumn>
    <tableColumn id="11" name="DÍAS PERÍODO" totalsRowFunction="sum" dataDxfId="117" totalsRowDxfId="39">
      <calculatedColumnFormula>IFERROR(INDEX(tbl_hojascb_estado_hoy[dias_periodo],tbl_HojasCB[[#This Row],[Coincidir]]),"")</calculatedColumnFormula>
    </tableColumn>
    <tableColumn id="10" name="DUPLICADOS" totalsRowFunction="sum" dataDxfId="116" totalsRowDxfId="38">
      <calculatedColumnFormula>IFERROR(INDEX(tbl_hojascb_estado_hoy[duplicados],tbl_HojasCB[[#This Row],[Coincidir]]),"")</calculatedColumnFormula>
    </tableColumn>
    <tableColumn id="8" name="REFRESCADA" dataDxfId="115" totalsRowDxfId="37">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4" totalsRowDxfId="36">
      <calculatedColumnFormula>IFERROR(INDEX(tbl_hojascb_estado_hoy[inicio_refrescado],tbl_HojasCB[[#This Row],[Coincidir]]),"")</calculatedColumnFormula>
    </tableColumn>
    <tableColumn id="16" name="REFRESCADO_FIN" totalsRowFunction="max" dataDxfId="113" totalsRowDxfId="35">
      <calculatedColumnFormula>IFERROR(INDEX(tbl_hojascb_estado_hoy[fin_refrescado],tbl_HojasCB[[#This Row],[Coincidir]]),"")</calculatedColumnFormula>
    </tableColumn>
    <tableColumn id="17" name="DURACIÓN" totalsRowFunction="sum" dataDxfId="112" totalsRowDxfId="34">
      <calculatedColumnFormula>IFERROR(tbl_HojasCB[[#This Row],[REFRESCADO_FIN]]-tbl_HojasCB[[#This Row],[REFRESCADO_INI]],"")</calculatedColumnFormula>
    </tableColumn>
    <tableColumn id="14" name="GUARDADO" dataDxfId="111" totalsRowDxfId="33">
      <calculatedColumnFormula>IFERROR(INDEX(tbl_hojascb_estado_hoy[guardado],tbl_HojasCB[[#This Row],[Coincidir]]),"")</calculatedColumnFormula>
    </tableColumn>
    <tableColumn id="18" name="RAZÓN" dataDxfId="110" totalsRowDxfId="32">
      <calculatedColumnFormula>IF(IFERROR(INDEX(tbl_hojascb_estado_hoy[razon],tbl_HojasCB[[#This Row],[Coincidir]]),"")=0,"",IFERROR(INDEX(tbl_hojascb_estado_hoy[razon],tbl_HojasCB[[#This Row],[Coincidir]]),""))</calculatedColumnFormula>
    </tableColumn>
    <tableColumn id="19" name="Coincidir" dataDxfId="109" totalsRowDxfId="31">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U14" totalsRowShown="0">
  <autoFilter ref="A1:U14"/>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08">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73" totalsRowShown="0">
  <autoFilter ref="A1:C73"/>
  <tableColumns count="3">
    <tableColumn id="3" name="ID" dataDxfId="107">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3" insertRow="1" totalsRowCount="1" headerRowDxfId="106">
  <autoFilter ref="B1:Q2"/>
  <sortState ref="B2:Q3">
    <sortCondition descending="1" ref="H1:H3"/>
  </sortState>
  <tableColumns count="16">
    <tableColumn id="1" name="EMPRESA" totalsRowLabel="Total"/>
    <tableColumn id="2" name="HOJA CB" totalsRowFunction="count" totalsRowDxfId="105"/>
    <tableColumn id="3" name="REFRESCADO" dataDxfId="104" totalsRowDxfId="103"/>
    <tableColumn id="14" name="TIPO" dataDxfId="102" totalsRowDxfId="101"/>
    <tableColumn id="16" name="BASE DATOS" dataDxfId="100" totalsRowDxfId="99"/>
    <tableColumn id="4" name="INICIO" totalsRowFunction="min" dataDxfId="98" totalsRowDxfId="97"/>
    <tableColumn id="7" name="FIN" totalsRowFunction="max" dataDxfId="96" totalsRowDxfId="95"/>
    <tableColumn id="5" name="DURACIÓN" totalsRowFunction="sum" dataDxfId="94" totalsRowDxfId="93">
      <calculatedColumnFormula>tbl_Fechas_Refrescado[[#This Row],[FIN]]-tbl_Fechas_Refrescado[[#This Row],[INICIO]]</calculatedColumnFormula>
    </tableColumn>
    <tableColumn id="15" name="RAZÓN" dataDxfId="92" totalsRowDxfId="91"/>
    <tableColumn id="6" name="DIAS PERIODO" totalsRowFunction="max" dataDxfId="90" totalsRowDxfId="89"/>
    <tableColumn id="13" name="DUPLICADOS" totalsRowFunction="sum" dataDxfId="88" totalsRowDxfId="87"/>
    <tableColumn id="8" name="SKUs Totales" totalsRowFunction="sum" dataDxfId="86" totalsRowDxfId="85"/>
    <tableColumn id="9" name="SKUs Buffer" totalsRowFunction="sum" dataDxfId="84" totalsRowDxfId="83"/>
    <tableColumn id="10" name="COSTO BUFFER" totalsRowFunction="sum" dataDxfId="82" totalsRowDxfId="81"/>
    <tableColumn id="11" name="COSTO FISICO" totalsRowFunction="sum" dataDxfId="80" totalsRowDxfId="79"/>
    <tableColumn id="12" name="COSTO TRANSITO" totalsRowFunction="sum" dataDxfId="78" totalsRowDxfId="77"/>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2" tableType="queryTable" totalsRowShown="0">
  <autoFilter ref="A1:A2"/>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6"/>
    <tableColumn id="5" name="EMPRESA"/>
    <tableColumn id="2" name="DIRECTORIO"/>
    <tableColumn id="3" name="ARCHIVO"/>
    <tableColumn id="4" name="PATH" dataDxfId="75">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4"/>
    <tableColumn id="5" name="EMPRESA"/>
    <tableColumn id="6" name="BODEGA"/>
    <tableColumn id="4" name="PATH" dataDxfId="73"/>
    <tableColumn id="2" name="ARCHIVO" dataDxfId="72">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1" dataDxfId="70">
  <autoFilter ref="B1:F2"/>
  <tableColumns count="5">
    <tableColumn id="5" name="PERFIL" dataDxfId="69"/>
    <tableColumn id="1" name="FREC REP" dataDxfId="68"/>
    <tableColumn id="2" name="TIEMP SUMINIS" dataDxfId="67"/>
    <tableColumn id="3" name="HORIZONTE" dataDxfId="66"/>
    <tableColumn id="4" name="T NIV SER (DIAS)" dataDxfId="65"/>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38" totalsRowShown="0">
  <autoFilter ref="A1:D38"/>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4"/>
    <tableColumn id="3" name="RESTAN" dataDxfId="63">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2">
  <autoFilter ref="A2:D3"/>
  <tableColumns count="4">
    <tableColumn id="2" name="HOJA CB" totalsRowLabel="TOTALES" totalsRowDxfId="61"/>
    <tableColumn id="3" name="TODOS ITEMS" totalsRowFunction="sum" dataDxfId="60" totalsRowDxfId="59"/>
    <tableColumn id="4" name="ITEMS CON BUFFER" totalsRowFunction="sum" dataDxfId="58" totalsRowDxfId="57"/>
    <tableColumn id="1" name="% ITEMS CON BUFFER" totalsRowFunction="average" dataDxfId="56" totalsRowDxfId="55">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2" totalsRowShown="0">
  <autoFilter ref="P1:P2"/>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A5" totalsRowShown="0">
  <autoFilter ref="A1:A5"/>
  <tableColumns count="1">
    <tableColumn id="1" name="RRFA.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20.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5.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6.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6"/>
  <sheetViews>
    <sheetView showGridLines="0" tabSelected="1" zoomScale="80" zoomScaleNormal="80" workbookViewId="0">
      <pane xSplit="10" ySplit="13" topLeftCell="K14" activePane="bottomRight" state="frozen"/>
      <selection pane="topRight" activeCell="K1" sqref="K1"/>
      <selection pane="bottomLeft" activeCell="A14" sqref="A14"/>
      <selection pane="bottomRight" activeCell="A14" sqref="A14"/>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11.42578125" style="33" customWidth="1"/>
    <col min="45" max="183" width="11.42578125" style="33"/>
    <col min="184" max="184" width="21.85546875" style="33" customWidth="1"/>
    <col min="185" max="16384" width="11.42578125" style="33"/>
  </cols>
  <sheetData>
    <row r="1" spans="1:97" ht="15" customHeight="1" x14ac:dyDescent="0.25">
      <c r="A1" s="30"/>
      <c r="B1" s="70" t="str">
        <f ca="1">INDEX(Indicaciones[Indicación],RANDBETWEEN(1,MAX(Indicaciones[ID])))</f>
        <v>¿Se están haciendo las reposiciones de acuerdo a los requerimientos reales?</v>
      </c>
      <c r="C1" s="31"/>
      <c r="D1" s="31"/>
      <c r="E1" s="31"/>
      <c r="F1" s="31"/>
      <c r="G1" s="32"/>
      <c r="H1" s="32"/>
      <c r="I1" s="32"/>
      <c r="J1" s="86">
        <v>43374</v>
      </c>
      <c r="CQ1" s="74" t="s">
        <v>36</v>
      </c>
      <c r="CR1" s="79"/>
      <c r="CS1" s="85">
        <v>43243</v>
      </c>
    </row>
    <row r="2" spans="1:97" ht="15" customHeight="1" x14ac:dyDescent="0.25">
      <c r="A2" s="32"/>
      <c r="B2" s="32"/>
      <c r="C2" s="32"/>
      <c r="D2" s="32"/>
      <c r="E2" s="71"/>
      <c r="F2" s="71"/>
      <c r="G2" s="71"/>
      <c r="H2" s="71"/>
      <c r="I2" s="71"/>
      <c r="J2" s="71"/>
      <c r="K2" s="71"/>
      <c r="L2" s="76"/>
      <c r="M2" s="76"/>
      <c r="N2" s="76"/>
      <c r="O2" s="76"/>
      <c r="P2" s="76"/>
      <c r="Q2" s="76"/>
      <c r="R2" s="76"/>
      <c r="S2" s="76"/>
      <c r="T2" s="76"/>
    </row>
    <row r="3" spans="1:97" ht="15" customHeight="1" x14ac:dyDescent="0.25">
      <c r="A3" s="32"/>
      <c r="C3" s="36"/>
      <c r="D3" s="36"/>
      <c r="E3" s="71"/>
      <c r="F3" s="71"/>
      <c r="G3" s="72" t="s">
        <v>35</v>
      </c>
      <c r="H3" s="77"/>
      <c r="I3" s="78" t="str">
        <f>IF(COUNTIF(tbl_HojasCB[REFRESCADA],"1 - 1")=COUNTA(tbl_HojasCB[HOJAS]),"Completo","Incompleto")</f>
        <v>Completo</v>
      </c>
      <c r="J3" s="71"/>
      <c r="K3" s="71"/>
      <c r="L3" s="76"/>
      <c r="M3" s="76"/>
      <c r="N3" s="76"/>
      <c r="O3" s="76"/>
      <c r="P3" s="76"/>
      <c r="Q3" s="76"/>
      <c r="R3" s="76"/>
      <c r="S3" s="76"/>
      <c r="T3" s="76"/>
    </row>
    <row r="4" spans="1:97" ht="15" customHeight="1" x14ac:dyDescent="0.25">
      <c r="A4" s="32"/>
      <c r="C4" s="34"/>
      <c r="D4" s="34"/>
      <c r="E4" s="73"/>
      <c r="F4" s="73"/>
      <c r="G4" s="74" t="s">
        <v>193</v>
      </c>
      <c r="H4" s="79"/>
      <c r="I4" s="84">
        <f>DURACIONREFRESCADO</f>
        <v>4.8148148198379204E-3</v>
      </c>
      <c r="J4" s="71"/>
      <c r="N4" s="76"/>
      <c r="O4" s="80"/>
      <c r="P4" s="76"/>
      <c r="Q4" s="76"/>
      <c r="R4" s="76"/>
      <c r="S4" s="76"/>
      <c r="T4" s="76"/>
    </row>
    <row r="5" spans="1:97" ht="15" customHeight="1" x14ac:dyDescent="0.35">
      <c r="A5" s="35"/>
      <c r="B5" s="36"/>
      <c r="E5" s="75"/>
      <c r="F5" s="75"/>
      <c r="G5" s="81" t="s">
        <v>37</v>
      </c>
      <c r="H5" s="82"/>
      <c r="I5" s="85">
        <f>IFERROR(INDEX(tbl_Refrescado_ERP[FECHA],MATCH("BODEGA",tbl_Refrescado_ERP[TABLA],0)),"SIN DATOS")</f>
        <v>43374</v>
      </c>
      <c r="J5" s="76"/>
      <c r="K5" s="76"/>
      <c r="L5" s="76"/>
      <c r="M5" s="76"/>
      <c r="N5" s="76"/>
      <c r="O5" s="76"/>
      <c r="P5" s="76"/>
      <c r="Q5" s="76"/>
      <c r="R5" s="76"/>
      <c r="S5" s="76"/>
      <c r="T5" s="76"/>
    </row>
    <row r="6" spans="1:97" ht="15" customHeight="1" x14ac:dyDescent="0.3">
      <c r="A6" s="37"/>
      <c r="B6" s="32"/>
      <c r="C6" s="32"/>
      <c r="D6" s="32"/>
      <c r="E6" s="71"/>
      <c r="F6" s="71"/>
      <c r="G6" s="83" t="s">
        <v>39</v>
      </c>
      <c r="H6" s="79"/>
      <c r="I6" s="85">
        <f>IFERROR(INDEX(tbl_Refrescado_ERP[FECHA],MATCH("PRODUCTO",tbl_Refrescado_ERP[TABLA],0)),"SIN DATOS")</f>
        <v>43374</v>
      </c>
      <c r="J6" s="76"/>
      <c r="K6" s="76"/>
      <c r="L6" s="76"/>
      <c r="M6" s="76"/>
      <c r="N6" s="76"/>
      <c r="O6" s="76"/>
      <c r="P6" s="76"/>
      <c r="Q6" s="76"/>
      <c r="R6" s="76"/>
      <c r="S6" s="76"/>
      <c r="T6" s="76"/>
    </row>
    <row r="7" spans="1:97" ht="15" customHeight="1" x14ac:dyDescent="0.25">
      <c r="A7" s="32"/>
      <c r="B7" s="32"/>
      <c r="C7" s="32"/>
      <c r="D7" s="32"/>
      <c r="E7" s="71"/>
      <c r="F7" s="71"/>
      <c r="G7" s="55" t="s">
        <v>38</v>
      </c>
      <c r="H7" s="48"/>
      <c r="I7" s="85">
        <f>IFERROR(INDEX(tbl_Refrescado_ERP[FECHA],MATCH("INVENTARIO",tbl_Refrescado_ERP[TABLA],0)),"SIN DATOS")</f>
        <v>43374</v>
      </c>
      <c r="J7" s="76"/>
      <c r="K7" s="76"/>
      <c r="L7" s="76"/>
      <c r="M7" s="76"/>
      <c r="N7" s="76"/>
      <c r="O7" s="76"/>
      <c r="P7" s="76"/>
      <c r="Q7" s="76"/>
      <c r="R7" s="76"/>
      <c r="S7" s="76"/>
      <c r="T7" s="76"/>
    </row>
    <row r="8" spans="1:97" ht="15" customHeight="1" x14ac:dyDescent="0.25">
      <c r="A8" s="52" t="s">
        <v>223</v>
      </c>
      <c r="B8" s="53"/>
      <c r="C8" s="36"/>
      <c r="D8" s="59" t="str">
        <f ca="1">HYPERLINK("["&amp;LEFT(CELL("filename",A1),FIND("[",CELL("filename",A1))-2)&amp;"\CONTROL DE BUFFERS\ARCHIVO\ARCHIVO.xlsm]","Archivo")</f>
        <v>Archivo</v>
      </c>
      <c r="E8" s="61" t="str">
        <f ca="1">HYPERLINK(LEFT(CELL("filename",A1),FIND("[",CELL("filename",A1))-2)&amp;"\CONTROL DE BUFFERS\ARCHIVO\","dir")</f>
        <v>dir</v>
      </c>
      <c r="F8" s="32"/>
      <c r="G8" s="54" t="s">
        <v>47</v>
      </c>
      <c r="H8" s="49"/>
      <c r="I8" s="85">
        <f>IFERROR(INDEX(tbl_Refrescado_ERP[FECHA],MATCH("CONSUMO",tbl_Refrescado_ERP[TABLA],0)),"SIN DATOS")</f>
        <v>43374</v>
      </c>
    </row>
    <row r="9" spans="1:97" ht="15" customHeight="1" x14ac:dyDescent="0.25">
      <c r="A9" s="59" t="str">
        <f>HYPERLINK("[O:\COMPROMETIDOS Y BACKORDERS\COMPROMETIDOS Y BACKORDERS.xlsm]Comprometidos!a1","Comprometidos")</f>
        <v>Comprometidos</v>
      </c>
      <c r="B9" s="61" t="str">
        <f>HYPERLINK("O:\COMPROMETIDOS Y BACKORDERS\","dir")</f>
        <v>dir</v>
      </c>
      <c r="C9" s="32"/>
      <c r="D9" s="59" t="str">
        <f ca="1">HYPERLINK("["&amp;LEFT(CELL("filename",L3),FIND("[",CELL("filename",L3))-2)&amp;"\CONTROL DE BUFFERS\SIMULADOR\Simulacion RAM CAS.xlsm]","SIMULADOR BUFFERS")</f>
        <v>SIMULADOR BUFFERS</v>
      </c>
      <c r="E9" s="38"/>
      <c r="F9" s="32"/>
      <c r="G9" s="56" t="s">
        <v>43</v>
      </c>
      <c r="H9" s="49"/>
      <c r="I9" s="50"/>
    </row>
    <row r="10" spans="1:97" ht="15" customHeight="1" x14ac:dyDescent="0.25">
      <c r="A10" s="59" t="str">
        <f>HYPERLINK("[O:\COMPROMETIDOS Y BACKORDERS\COMPROMETIDOS Y BACKORDERS.xlsm]Backorders!a1","Backorders")</f>
        <v>Backorders</v>
      </c>
      <c r="B10" s="61" t="str">
        <f>HYPERLINK("O:\COMPROMETIDOS Y BACKORDERS\","dir")</f>
        <v>dir</v>
      </c>
      <c r="C10" s="32"/>
      <c r="D10" s="60" t="str">
        <f>IFERROR(IF(COUNTA(Alertas!$A$1)&gt;0,"HAY ALERTAS","NO HAY ALERTAS"),"NO HAY ALERTAS")</f>
        <v>HAY ALERTAS</v>
      </c>
      <c r="E10" s="39"/>
      <c r="F10" s="32"/>
      <c r="G10" s="57" t="s">
        <v>110</v>
      </c>
      <c r="H10" s="48"/>
      <c r="I10" s="51"/>
    </row>
    <row r="11" spans="1:97" ht="15" customHeight="1" x14ac:dyDescent="0.25">
      <c r="A11" s="40"/>
      <c r="B11" s="32"/>
      <c r="C11" s="32"/>
      <c r="D11" s="59" t="str">
        <f ca="1">HYPERLINK("["&amp;LEFT(CELL("filename",A1),FIND("[",CELL("filename",A1))-2)&amp;"\CONTROL DE BUFFERS\PLANTILLAS\Plantilla Copiado Pegado.xlsx]","Copiado y Pegado")</f>
        <v>Copiado y Pegado</v>
      </c>
      <c r="E11" s="38"/>
      <c r="F11" s="32"/>
      <c r="G11" s="57" t="s">
        <v>48</v>
      </c>
      <c r="H11" s="48"/>
      <c r="I11" s="51"/>
    </row>
    <row r="12" spans="1:97" ht="12.75" customHeight="1" x14ac:dyDescent="0.25"/>
    <row r="13" spans="1:97" ht="26.25" customHeight="1" x14ac:dyDescent="0.25">
      <c r="A13" s="41" t="s">
        <v>157</v>
      </c>
      <c r="B13" s="41" t="s">
        <v>192</v>
      </c>
      <c r="C13" s="41" t="s">
        <v>67</v>
      </c>
      <c r="D13" s="41" t="s">
        <v>160</v>
      </c>
      <c r="E13" s="41" t="s">
        <v>162</v>
      </c>
      <c r="F13" s="41" t="s">
        <v>164</v>
      </c>
      <c r="G13" s="41" t="s">
        <v>165</v>
      </c>
      <c r="H13" s="42" t="s">
        <v>161</v>
      </c>
      <c r="I13" s="42" t="s">
        <v>190</v>
      </c>
      <c r="J13" s="41" t="s">
        <v>158</v>
      </c>
      <c r="K13" s="41" t="s">
        <v>159</v>
      </c>
      <c r="L13" s="41" t="s">
        <v>163</v>
      </c>
      <c r="M13" s="41" t="s">
        <v>70</v>
      </c>
      <c r="N13" s="41" t="s">
        <v>169</v>
      </c>
      <c r="O13" s="41" t="s">
        <v>167</v>
      </c>
      <c r="P13" s="41" t="s">
        <v>168</v>
      </c>
      <c r="Q13" s="41" t="s">
        <v>60</v>
      </c>
      <c r="R13" s="41" t="s">
        <v>166</v>
      </c>
      <c r="S13" s="41" t="s">
        <v>77</v>
      </c>
      <c r="T13" s="41" t="s">
        <v>191</v>
      </c>
    </row>
    <row r="14" spans="1:97" ht="15" customHeight="1" x14ac:dyDescent="0.25">
      <c r="A14" s="62" t="s">
        <v>282</v>
      </c>
      <c r="B14" s="63">
        <f>IFERROR(INDEX(tbl_hojascb_estado_hoy[alertas],tbl_HojasCB[[#This Row],[Coincidir]]),"")</f>
        <v>4</v>
      </c>
      <c r="C14" s="64">
        <f>IFERROR(INDEX(tbl_hojascb_estado_hoy[costo_buffer],tbl_HojasCB[[#This Row],[Coincidir]]),"")</f>
        <v>1374622.14</v>
      </c>
      <c r="D14" s="64">
        <f>IFERROR(INDEX(tbl_hojascb_estado_hoy[costo_fisico],tbl_HojasCB[[#This Row],[Coincidir]]),"")</f>
        <v>518242.44</v>
      </c>
      <c r="E14" s="64">
        <f>IFERROR(INDEX(tbl_hojascb_estado_hoy[costo_transito],tbl_HojasCB[[#This Row],[Coincidir]]),"")</f>
        <v>218962.57</v>
      </c>
      <c r="F14" s="64">
        <f>IFERROR(INDEX(tbl_hojascb_estado_hoy[costo_comprometido],tbl_HojasCB[[#This Row],[Coincidir]]),"")</f>
        <v>0</v>
      </c>
      <c r="G14" s="64">
        <f>IFERROR(INDEX(tbl_hojascb_estado_hoy[costo_backorder],tbl_HojasCB[[#This Row],[Coincidir]]),"")</f>
        <v>0</v>
      </c>
      <c r="H14" s="64">
        <f>IFERROR(INDEX(tbl_hojascb_estado_hoy[costo_proyectado],tbl_HojasCB[[#This Row],[Coincidir]]),"")</f>
        <v>737205.01</v>
      </c>
      <c r="I14" s="64">
        <f>IFERROR(INDEX(tbl_hojascb_estado_hoy[costo_total],tbl_HojasCB[[#This Row],[Coincidir]]),"")</f>
        <v>737205.01</v>
      </c>
      <c r="J14" s="65">
        <f>IFERROR(INDEX(tbl_hojascb_estado_hoy[sku_totales],tbl_HojasCB[[#This Row],[Coincidir]]),"")</f>
        <v>953</v>
      </c>
      <c r="K14" s="65">
        <f>IFERROR(INDEX(tbl_hojascb_estado_hoy[sku_buffer],tbl_HojasCB[[#This Row],[Coincidir]]),"")</f>
        <v>862</v>
      </c>
      <c r="L14" s="65">
        <f>IFERROR(INDEX(tbl_hojascb_estado_hoy[dias_periodo],tbl_HojasCB[[#This Row],[Coincidir]]),"")</f>
        <v>357</v>
      </c>
      <c r="M14" s="65">
        <f>IFERROR(INDEX(tbl_hojascb_estado_hoy[duplicados],tbl_HojasCB[[#This Row],[Coincidir]]),"")</f>
        <v>0</v>
      </c>
      <c r="N14" s="66" t="str">
        <f>IFERROR(INDEX(tbl_hojascb_estado_hoy[refrescada],tbl_HojasCB[[#This Row],[Coincidir]]),"")&amp;" - "&amp;IFERROR(INDEX(tbl_hojascb_estado_hoy[base_datos],tbl_HojasCB[[#This Row],[Coincidir]]),"")</f>
        <v>1 - 1</v>
      </c>
      <c r="O14" s="67">
        <f>IFERROR(INDEX(tbl_hojascb_estado_hoy[inicio_refrescado],tbl_HojasCB[[#This Row],[Coincidir]]),"")</f>
        <v>43390.564039351855</v>
      </c>
      <c r="P14" s="67">
        <f>IFERROR(INDEX(tbl_hojascb_estado_hoy[fin_refrescado],tbl_HojasCB[[#This Row],[Coincidir]]),"")</f>
        <v>43390.568240740744</v>
      </c>
      <c r="Q14" s="68">
        <f>IFERROR(tbl_HojasCB[[#This Row],[REFRESCADO_FIN]]-tbl_HojasCB[[#This Row],[REFRESCADO_INI]],"")</f>
        <v>4.2013888887595385E-3</v>
      </c>
      <c r="R14" s="67">
        <f>IFERROR(INDEX(tbl_hojascb_estado_hoy[guardado],tbl_HojasCB[[#This Row],[Coincidir]]),"")</f>
        <v>43411.487303240741</v>
      </c>
      <c r="S14" s="69" t="str">
        <f>IF(IFERROR(INDEX(tbl_hojascb_estado_hoy[razon],tbl_HojasCB[[#This Row],[Coincidir]]),"")=0,"",IFERROR(INDEX(tbl_hojascb_estado_hoy[razon],tbl_HojasCB[[#This Row],[Coincidir]]),""))</f>
        <v/>
      </c>
      <c r="T14" s="66">
        <f>MATCH(EMP&amp;tbl_HojasCB[[#This Row],[HOJAS]],tbl_hojascb_estado_hoy[empresa_hoja],0)</f>
        <v>11</v>
      </c>
    </row>
    <row r="15" spans="1:97" ht="15" customHeight="1" x14ac:dyDescent="0.25">
      <c r="A15" s="45" t="str">
        <f>"Total Hojas:  "&amp;SUBTOTAL(103,tbl_HojasCB[HOJAS])</f>
        <v>Total Hojas:  1</v>
      </c>
      <c r="B15" s="45">
        <f>SUBTOTAL(109,tbl_HojasCB[ALERTAS])</f>
        <v>4</v>
      </c>
      <c r="C15" s="43">
        <f>SUBTOTAL(109,tbl_HojasCB[COSTO BUFFER])</f>
        <v>1374622.14</v>
      </c>
      <c r="D15" s="43">
        <f>SUBTOTAL(109,tbl_HojasCB[COSTO FÍSICO])</f>
        <v>518242.44</v>
      </c>
      <c r="E15" s="43">
        <f>SUBTOTAL(109,tbl_HojasCB[COSTO TRÁNSITO])</f>
        <v>218962.57</v>
      </c>
      <c r="F15" s="43">
        <f>SUBTOTAL(109,tbl_HojasCB[COSTO COMPROM])</f>
        <v>0</v>
      </c>
      <c r="G15" s="43">
        <f>SUBTOTAL(109,tbl_HojasCB[COSTO BACKORDER])</f>
        <v>0</v>
      </c>
      <c r="H15" s="43">
        <f>SUBTOTAL(109,tbl_HojasCB[COSTO PROYECTADO])</f>
        <v>737205.01</v>
      </c>
      <c r="I15" s="43">
        <f>SUBTOTAL(109,tbl_HojasCB[COSTO TOTAL])</f>
        <v>737205.01</v>
      </c>
      <c r="J15" s="46">
        <f>SUBTOTAL(109,tbl_HojasCB[ÍTEMS TOTALES])</f>
        <v>953</v>
      </c>
      <c r="K15" s="46">
        <f>SUBTOTAL(109,tbl_HojasCB[ÍTEMS CON BUFFER])</f>
        <v>862</v>
      </c>
      <c r="L15" s="46">
        <f>SUBTOTAL(109,tbl_HojasCB[DÍAS PERÍODO])</f>
        <v>357</v>
      </c>
      <c r="M15" s="46">
        <f>SUBTOTAL(109,tbl_HojasCB[DUPLICADOS])</f>
        <v>0</v>
      </c>
      <c r="N15" s="45"/>
      <c r="O15" s="44">
        <f>SUBTOTAL(105,tbl_HojasCB[REFRESCADO_INI])</f>
        <v>43390.564039351855</v>
      </c>
      <c r="P15" s="44">
        <f>SUBTOTAL(104,tbl_HojasCB[REFRESCADO_FIN])</f>
        <v>43390.568240740744</v>
      </c>
      <c r="Q15" s="58">
        <f>SUBTOTAL(109,tbl_HojasCB[DURACIÓN])</f>
        <v>4.2013888887595385E-3</v>
      </c>
      <c r="R15" s="45"/>
      <c r="T15" s="45"/>
    </row>
    <row r="16" spans="1:97" ht="15" customHeight="1" x14ac:dyDescent="0.25"/>
    <row r="17" ht="15" customHeight="1" x14ac:dyDescent="0.25"/>
    <row r="18" ht="15" customHeight="1" x14ac:dyDescent="0.25"/>
    <row r="19" ht="15" customHeight="1" x14ac:dyDescent="0.25"/>
    <row r="20" ht="15" customHeight="1" x14ac:dyDescent="0.25"/>
    <row r="21" ht="15" customHeight="1" x14ac:dyDescent="0.25"/>
    <row r="126" spans="184:185" x14ac:dyDescent="0.25">
      <c r="GB126" s="47" t="s">
        <v>154</v>
      </c>
      <c r="GC126" s="33" t="s">
        <v>111</v>
      </c>
    </row>
  </sheetData>
  <sheetProtection algorithmName="SHA-512" hashValue="U0wPExnas/EP7A+aU2GAIfVb8abd9NzOlv0UnF70nMGQ7vG7wYbhE9yNemrTNx7fplNkD0G8X3XWYm73zk7wIg==" saltValue="3Upu6rt36AER/E9TZA/DFw==" spinCount="100000" sheet="1" objects="1" scenarios="1" sort="0" autoFilter="0"/>
  <conditionalFormatting sqref="I3">
    <cfRule type="expression" dxfId="30" priority="21" stopIfTrue="1">
      <formula>REFRESCADO="Completo"</formula>
    </cfRule>
    <cfRule type="expression" dxfId="29" priority="30">
      <formula>REFRESCADO="Incompleto"</formula>
    </cfRule>
  </conditionalFormatting>
  <conditionalFormatting sqref="D10:E10">
    <cfRule type="expression" dxfId="28" priority="26">
      <formula>$D10="NO HAY ALERTAS"</formula>
    </cfRule>
    <cfRule type="expression" dxfId="27" priority="27">
      <formula>$D10="HAY ALERTAS"</formula>
    </cfRule>
  </conditionalFormatting>
  <conditionalFormatting sqref="I5:I8">
    <cfRule type="expression" dxfId="26" priority="22">
      <formula>$I5&lt;&gt;TODAY()</formula>
    </cfRule>
  </conditionalFormatting>
  <conditionalFormatting sqref="A14:S14">
    <cfRule type="expression" dxfId="25" priority="1" stopIfTrue="1">
      <formula>OR(TRUNC($P14)&lt;TODAY(),$N14&lt;&gt;"1 - 1")</formula>
    </cfRule>
    <cfRule type="expression" dxfId="24" priority="7" stopIfTrue="1">
      <formula>$M14&gt;0</formula>
    </cfRule>
  </conditionalFormatting>
  <conditionalFormatting sqref="B14">
    <cfRule type="colorScale" priority="3123">
      <colorScale>
        <cfvo type="num" val="0"/>
        <cfvo type="percentile" val="50"/>
        <cfvo type="num" val="6"/>
        <color rgb="FF63BE7B"/>
        <color rgb="FFFFEB84"/>
        <color rgb="FFF8696B"/>
      </colorScale>
    </cfRule>
  </conditionalFormatting>
  <conditionalFormatting sqref="G5:H5">
    <cfRule type="expression" dxfId="23" priority="5">
      <formula>NOT(trae_Bodega)</formula>
    </cfRule>
  </conditionalFormatting>
  <conditionalFormatting sqref="G7:H7">
    <cfRule type="expression" dxfId="22" priority="4">
      <formula>NOT(trae_Inventario)</formula>
    </cfRule>
  </conditionalFormatting>
  <conditionalFormatting sqref="G6:H6">
    <cfRule type="expression" dxfId="21" priority="3">
      <formula>NOT(trae_Producto)</formula>
    </cfRule>
  </conditionalFormatting>
  <conditionalFormatting sqref="G8:H8">
    <cfRule type="expression" dxfId="20" priority="2">
      <formula>NOT(trae_Consumo)</formula>
    </cfRule>
  </conditionalFormatting>
  <conditionalFormatting sqref="A14:T14">
    <cfRule type="expression" dxfId="19" priority="3122" stopIfTrue="1">
      <formula>$S14&lt;&gt;""</formula>
    </cfRule>
  </conditionalFormatting>
  <conditionalFormatting sqref="CS1">
    <cfRule type="expression" dxfId="18" priority="5625">
      <formula>$CS1&lt;&gt;TODAY()</formula>
    </cfRule>
  </conditionalFormatting>
  <conditionalFormatting sqref="C14">
    <cfRule type="dataBar" priority="7628">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4">
    <cfRule type="dataBar" priority="7629">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4">
    <cfRule type="dataBar" priority="7630">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4">
    <cfRule type="dataBar" priority="7631">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4">
    <cfRule type="dataBar" priority="7632">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4">
    <cfRule type="dataBar" priority="7633">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4">
    <cfRule type="dataBar" priority="7634">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4">
    <cfRule type="dataBar" priority="7635">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4">
    <cfRule type="dataBar" priority="7636">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9:I11">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7019" r:id="rId4" name="cmdTransferenciasActivas">
          <controlPr defaultSize="0" autoLine="0" r:id="rId5">
            <anchor>
              <from>
                <xdr:col>2</xdr:col>
                <xdr:colOff>276225</xdr:colOff>
                <xdr:row>5</xdr:row>
                <xdr:rowOff>123825</xdr:rowOff>
              </from>
              <to>
                <xdr:col>2</xdr:col>
                <xdr:colOff>628650</xdr:colOff>
                <xdr:row>7</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57" r:id="rId6" name="cmdMantenimiento">
          <controlPr defaultSize="0" autoLine="0" r:id="rId7">
            <anchor>
              <from>
                <xdr:col>4</xdr:col>
                <xdr:colOff>476250</xdr:colOff>
                <xdr:row>2</xdr:row>
                <xdr:rowOff>28575</xdr:rowOff>
              </from>
              <to>
                <xdr:col>5</xdr:col>
                <xdr:colOff>819150</xdr:colOff>
                <xdr:row>3</xdr:row>
                <xdr:rowOff>104775</xdr:rowOff>
              </to>
            </anchor>
          </controlPr>
        </control>
      </mc:Choice>
      <mc:Fallback>
        <control shapeId="1057" r:id="rId6" name="cmdMantenimiento"/>
      </mc:Fallback>
    </mc:AlternateContent>
    <mc:AlternateContent xmlns:mc="http://schemas.openxmlformats.org/markup-compatibility/2006">
      <mc:Choice Requires="x14">
        <control shapeId="1053" r:id="rId8" name="cmdControl">
          <controlPr defaultSize="0" autoLine="0" r:id="rId9">
            <anchor>
              <from>
                <xdr:col>0</xdr:col>
                <xdr:colOff>1314450</xdr:colOff>
                <xdr:row>4</xdr:row>
                <xdr:rowOff>19050</xdr:rowOff>
              </from>
              <to>
                <xdr:col>0</xdr:col>
                <xdr:colOff>2190750</xdr:colOff>
                <xdr:row>6</xdr:row>
                <xdr:rowOff>66675</xdr:rowOff>
              </to>
            </anchor>
          </controlPr>
        </control>
      </mc:Choice>
      <mc:Fallback>
        <control shapeId="1053" r:id="rId8" name="cmdControl"/>
      </mc:Fallback>
    </mc:AlternateContent>
    <mc:AlternateContent xmlns:mc="http://schemas.openxmlformats.org/markup-compatibility/2006">
      <mc:Choice Requires="x14">
        <control shapeId="1034" r:id="rId10" name="cboEmpresa">
          <controlPr defaultSize="0" autoLine="0" r:id="rId11">
            <anchor>
              <from>
                <xdr:col>0</xdr:col>
                <xdr:colOff>0</xdr:colOff>
                <xdr:row>4</xdr:row>
                <xdr:rowOff>38100</xdr:rowOff>
              </from>
              <to>
                <xdr:col>0</xdr:col>
                <xdr:colOff>1266825</xdr:colOff>
                <xdr:row>5</xdr:row>
                <xdr:rowOff>95250</xdr:rowOff>
              </to>
            </anchor>
          </controlPr>
        </control>
      </mc:Choice>
      <mc:Fallback>
        <control shapeId="1034" r:id="rId10" name="cboEmpresa"/>
      </mc:Fallback>
    </mc:AlternateContent>
    <mc:AlternateContent xmlns:mc="http://schemas.openxmlformats.org/markup-compatibility/2006">
      <mc:Choice Requires="x14">
        <control shapeId="1056" r:id="rId12" name="cmdTransferencias">
          <controlPr defaultSize="0" autoLine="0" r:id="rId13">
            <anchor>
              <from>
                <xdr:col>0</xdr:col>
                <xdr:colOff>2219325</xdr:colOff>
                <xdr:row>4</xdr:row>
                <xdr:rowOff>19050</xdr:rowOff>
              </from>
              <to>
                <xdr:col>2</xdr:col>
                <xdr:colOff>276225</xdr:colOff>
                <xdr:row>6</xdr:row>
                <xdr:rowOff>66675</xdr:rowOff>
              </to>
            </anchor>
          </controlPr>
        </control>
      </mc:Choice>
      <mc:Fallback>
        <control shapeId="1056" r:id="rId12" name="cmdTransferencias"/>
      </mc:Fallback>
    </mc:AlternateContent>
    <mc:AlternateContent xmlns:mc="http://schemas.openxmlformats.org/markup-compatibility/2006">
      <mc:Choice Requires="x14">
        <control shapeId="1062" r:id="rId14" name="cmd_Alertas_Actuales">
          <controlPr defaultSize="0" autoLine="0" r:id="rId15">
            <anchor>
              <from>
                <xdr:col>4</xdr:col>
                <xdr:colOff>504825</xdr:colOff>
                <xdr:row>9</xdr:row>
                <xdr:rowOff>9525</xdr:rowOff>
              </from>
              <to>
                <xdr:col>5</xdr:col>
                <xdr:colOff>0</xdr:colOff>
                <xdr:row>9</xdr:row>
                <xdr:rowOff>180975</xdr:rowOff>
              </to>
            </anchor>
          </controlPr>
        </control>
      </mc:Choice>
      <mc:Fallback>
        <control shapeId="1062" r:id="rId14" name="cmd_Alertas_Actuales"/>
      </mc:Fallback>
    </mc:AlternateContent>
    <mc:AlternateContent xmlns:mc="http://schemas.openxmlformats.org/markup-compatibility/2006">
      <mc:Choice Requires="x14">
        <control shapeId="49451" r:id="rId16" name="cmd_Reportaje">
          <controlPr defaultSize="0" autoLine="0" r:id="rId17">
            <anchor>
              <from>
                <xdr:col>2</xdr:col>
                <xdr:colOff>638175</xdr:colOff>
                <xdr:row>4</xdr:row>
                <xdr:rowOff>19050</xdr:rowOff>
              </from>
              <to>
                <xdr:col>3</xdr:col>
                <xdr:colOff>752475</xdr:colOff>
                <xdr:row>6</xdr:row>
                <xdr:rowOff>66675</xdr:rowOff>
              </to>
            </anchor>
          </controlPr>
        </control>
      </mc:Choice>
      <mc:Fallback>
        <control shapeId="49451" r:id="rId16" name="cmd_Reportaje"/>
      </mc:Fallback>
    </mc:AlternateContent>
    <mc:AlternateContent xmlns:mc="http://schemas.openxmlformats.org/markup-compatibility/2006">
      <mc:Choice Requires="x14">
        <control shapeId="96465" r:id="rId18" name="cmdNuevaTransfer">
          <controlPr defaultSize="0" autoLine="0" r:id="rId19">
            <anchor>
              <from>
                <xdr:col>2</xdr:col>
                <xdr:colOff>276225</xdr:colOff>
                <xdr:row>4</xdr:row>
                <xdr:rowOff>19050</xdr:rowOff>
              </from>
              <to>
                <xdr:col>2</xdr:col>
                <xdr:colOff>628650</xdr:colOff>
                <xdr:row>5</xdr:row>
                <xdr:rowOff>114300</xdr:rowOff>
              </to>
            </anchor>
          </controlPr>
        </control>
      </mc:Choice>
      <mc:Fallback>
        <control shapeId="96465" r:id="rId18" name="cmdNuevaTransfer"/>
      </mc:Fallback>
    </mc:AlternateContent>
    <mc:AlternateContent xmlns:mc="http://schemas.openxmlformats.org/markup-compatibility/2006">
      <mc:Choice Requires="x14">
        <control shapeId="170298" r:id="rId20"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1" name="cmd_Importa_Datos_ERP">
          <controlPr defaultSize="0" print="0" autoFill="0" autoPict="0" macro="[0]!Trae_Datos_Del_ERP_Manual">
            <anchor>
              <from>
                <xdr:col>5</xdr:col>
                <xdr:colOff>0</xdr:colOff>
                <xdr:row>4</xdr:row>
                <xdr:rowOff>19050</xdr:rowOff>
              </from>
              <to>
                <xdr:col>5</xdr:col>
                <xdr:colOff>819150</xdr:colOff>
                <xdr:row>6</xdr:row>
                <xdr:rowOff>66675</xdr:rowOff>
              </to>
            </anchor>
          </controlPr>
        </control>
      </mc:Choice>
    </mc:AlternateContent>
    <mc:AlternateContent xmlns:mc="http://schemas.openxmlformats.org/markup-compatibility/2006">
      <mc:Choice Requires="x14">
        <control shapeId="170700" r:id="rId22"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3" name="cas_Bodega">
          <controlPr defaultSize="0" autoFill="0" autoLine="0" autoPict="0">
            <anchor>
              <from>
                <xdr:col>7</xdr:col>
                <xdr:colOff>647700</xdr:colOff>
                <xdr:row>3</xdr:row>
                <xdr:rowOff>161925</xdr:rowOff>
              </from>
              <to>
                <xdr:col>8</xdr:col>
                <xdr:colOff>180975</xdr:colOff>
                <xdr:row>5</xdr:row>
                <xdr:rowOff>0</xdr:rowOff>
              </to>
            </anchor>
          </controlPr>
        </control>
      </mc:Choice>
    </mc:AlternateContent>
    <mc:AlternateContent xmlns:mc="http://schemas.openxmlformats.org/markup-compatibility/2006">
      <mc:Choice Requires="x14">
        <control shapeId="170965" r:id="rId24" name="cas_Inventario">
          <controlPr defaultSize="0" autoFill="0" autoLine="0" autoPict="0">
            <anchor>
              <from>
                <xdr:col>7</xdr:col>
                <xdr:colOff>647700</xdr:colOff>
                <xdr:row>5</xdr:row>
                <xdr:rowOff>180975</xdr:rowOff>
              </from>
              <to>
                <xdr:col>8</xdr:col>
                <xdr:colOff>180975</xdr:colOff>
                <xdr:row>7</xdr:row>
                <xdr:rowOff>19050</xdr:rowOff>
              </to>
            </anchor>
          </controlPr>
        </control>
      </mc:Choice>
    </mc:AlternateContent>
    <mc:AlternateContent xmlns:mc="http://schemas.openxmlformats.org/markup-compatibility/2006">
      <mc:Choice Requires="x14">
        <control shapeId="170966" r:id="rId25" name="cas_Producto">
          <controlPr defaultSize="0" autoFill="0" autoLine="0" autoPict="0">
            <anchor>
              <from>
                <xdr:col>7</xdr:col>
                <xdr:colOff>647700</xdr:colOff>
                <xdr:row>4</xdr:row>
                <xdr:rowOff>180975</xdr:rowOff>
              </from>
              <to>
                <xdr:col>8</xdr:col>
                <xdr:colOff>190500</xdr:colOff>
                <xdr:row>6</xdr:row>
                <xdr:rowOff>19050</xdr:rowOff>
              </to>
            </anchor>
          </controlPr>
        </control>
      </mc:Choice>
    </mc:AlternateContent>
    <mc:AlternateContent xmlns:mc="http://schemas.openxmlformats.org/markup-compatibility/2006">
      <mc:Choice Requires="x14">
        <control shapeId="170967" r:id="rId26" name="cas_Consumo">
          <controlPr defaultSize="0" autoFill="0" autoLine="0" autoPict="0">
            <anchor>
              <from>
                <xdr:col>7</xdr:col>
                <xdr:colOff>647700</xdr:colOff>
                <xdr:row>6</xdr:row>
                <xdr:rowOff>180975</xdr:rowOff>
              </from>
              <to>
                <xdr:col>8</xdr:col>
                <xdr:colOff>190500</xdr:colOff>
                <xdr:row>8</xdr:row>
                <xdr:rowOff>19050</xdr:rowOff>
              </to>
            </anchor>
          </controlPr>
        </control>
      </mc:Choice>
    </mc:AlternateContent>
  </controls>
  <tableParts count="1">
    <tablePart r:id="rId27"/>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C14</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D14</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E14</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H14</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I14</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J14</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K14</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14"/>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170</v>
      </c>
      <c r="B1" t="s">
        <v>171</v>
      </c>
      <c r="C1" t="s">
        <v>172</v>
      </c>
      <c r="D1" t="s">
        <v>173</v>
      </c>
      <c r="E1" t="s">
        <v>174</v>
      </c>
      <c r="F1" t="s">
        <v>175</v>
      </c>
      <c r="G1" t="s">
        <v>176</v>
      </c>
      <c r="H1" t="s">
        <v>177</v>
      </c>
      <c r="I1" t="s">
        <v>178</v>
      </c>
      <c r="J1" t="s">
        <v>179</v>
      </c>
      <c r="K1" t="s">
        <v>180</v>
      </c>
      <c r="L1" t="s">
        <v>181</v>
      </c>
      <c r="M1" t="s">
        <v>182</v>
      </c>
      <c r="N1" t="s">
        <v>183</v>
      </c>
      <c r="O1" t="s">
        <v>184</v>
      </c>
      <c r="P1" t="s">
        <v>185</v>
      </c>
      <c r="Q1" t="s">
        <v>186</v>
      </c>
      <c r="R1" t="s">
        <v>187</v>
      </c>
      <c r="S1" t="s">
        <v>188</v>
      </c>
      <c r="T1" t="s">
        <v>221</v>
      </c>
      <c r="U1" t="s">
        <v>189</v>
      </c>
    </row>
    <row r="2" spans="1:21" x14ac:dyDescent="0.25">
      <c r="A2" t="s">
        <v>0</v>
      </c>
      <c r="B2" t="s">
        <v>278</v>
      </c>
      <c r="C2">
        <v>1</v>
      </c>
      <c r="D2">
        <v>1</v>
      </c>
      <c r="E2" s="24">
        <v>43254.999351851853</v>
      </c>
      <c r="F2" s="24">
        <v>43255.000625000001</v>
      </c>
      <c r="G2" s="24">
        <v>43255.005891203706</v>
      </c>
      <c r="H2" s="24"/>
      <c r="I2" s="24">
        <v>237</v>
      </c>
      <c r="J2" s="24">
        <v>0</v>
      </c>
      <c r="K2" s="24">
        <v>59</v>
      </c>
      <c r="L2" s="24">
        <v>44</v>
      </c>
      <c r="M2" s="24">
        <v>876422.42</v>
      </c>
      <c r="N2" s="24">
        <v>185483.42</v>
      </c>
      <c r="O2" s="24">
        <v>209520.14</v>
      </c>
      <c r="P2" s="24">
        <v>0</v>
      </c>
      <c r="Q2" s="24">
        <v>1426.24</v>
      </c>
      <c r="R2" s="24">
        <v>396429.8</v>
      </c>
      <c r="S2" s="24">
        <v>395003.56</v>
      </c>
      <c r="T2" s="24">
        <v>6</v>
      </c>
      <c r="U2" s="24" t="str">
        <f>tbl_hojascb_estado_hoy[[#This Row],[empresa]]&amp;tbl_hojascb_estado_hoy[[#This Row],[hoja_cb]]</f>
        <v>AGROTAADICIONALES.xlsm</v>
      </c>
    </row>
    <row r="3" spans="1:21" x14ac:dyDescent="0.25">
      <c r="A3" t="s">
        <v>0</v>
      </c>
      <c r="B3" t="s">
        <v>279</v>
      </c>
      <c r="C3">
        <v>1</v>
      </c>
      <c r="D3">
        <v>1</v>
      </c>
      <c r="E3" s="24">
        <v>43247.773564814815</v>
      </c>
      <c r="F3" s="24">
        <v>43247.77684027778</v>
      </c>
      <c r="G3" s="24">
        <v>43248.973958333336</v>
      </c>
      <c r="H3" s="24"/>
      <c r="I3" s="24">
        <v>210</v>
      </c>
      <c r="J3" s="24">
        <v>0</v>
      </c>
      <c r="K3" s="24">
        <v>57</v>
      </c>
      <c r="L3" s="24">
        <v>45</v>
      </c>
      <c r="M3" s="24">
        <v>887483.71</v>
      </c>
      <c r="N3" s="24">
        <v>235884.76</v>
      </c>
      <c r="O3" s="24">
        <v>209520.14</v>
      </c>
      <c r="P3" s="24">
        <v>0</v>
      </c>
      <c r="Q3" s="24">
        <v>1426.24</v>
      </c>
      <c r="R3" s="24">
        <v>446831.14</v>
      </c>
      <c r="S3" s="24">
        <v>445404.9</v>
      </c>
      <c r="T3" s="24">
        <v>0</v>
      </c>
      <c r="U3" s="24" t="str">
        <f>tbl_hojascb_estado_hoy[[#This Row],[empresa]]&amp;tbl_hojascb_estado_hoy[[#This Row],[hoja_cb]]</f>
        <v>AGROTACBGX.xlsm</v>
      </c>
    </row>
    <row r="4" spans="1:21" x14ac:dyDescent="0.25">
      <c r="A4" t="s">
        <v>0</v>
      </c>
      <c r="B4" t="s">
        <v>6</v>
      </c>
      <c r="C4">
        <v>1</v>
      </c>
      <c r="D4">
        <v>1</v>
      </c>
      <c r="E4" s="24">
        <v>43254.999351851853</v>
      </c>
      <c r="F4" s="24">
        <v>43255.000625000001</v>
      </c>
      <c r="G4" s="24">
        <v>43255.006539351853</v>
      </c>
      <c r="H4" s="24"/>
      <c r="I4" s="24">
        <v>237</v>
      </c>
      <c r="J4" s="24">
        <v>0</v>
      </c>
      <c r="K4" s="24">
        <v>59</v>
      </c>
      <c r="L4" s="24">
        <v>44</v>
      </c>
      <c r="M4" s="24">
        <v>876422.42</v>
      </c>
      <c r="N4" s="24">
        <v>185483.42</v>
      </c>
      <c r="O4" s="24">
        <v>209520.14</v>
      </c>
      <c r="P4" s="24">
        <v>0</v>
      </c>
      <c r="Q4" s="24">
        <v>1426.24</v>
      </c>
      <c r="R4" s="24">
        <v>396429.8</v>
      </c>
      <c r="S4" s="24">
        <v>395003.56</v>
      </c>
      <c r="T4" s="24">
        <v>6</v>
      </c>
      <c r="U4" s="24" t="str">
        <f>tbl_hojascb_estado_hoy[[#This Row],[empresa]]&amp;tbl_hojascb_estado_hoy[[#This Row],[hoja_cb]]</f>
        <v>AGROTAControl Buffers.xlsm</v>
      </c>
    </row>
    <row r="5" spans="1:21" x14ac:dyDescent="0.25">
      <c r="A5" t="s">
        <v>238</v>
      </c>
      <c r="B5" t="s">
        <v>278</v>
      </c>
      <c r="C5">
        <v>1</v>
      </c>
      <c r="D5">
        <v>1</v>
      </c>
      <c r="E5" s="24">
        <v>43384.346064814818</v>
      </c>
      <c r="F5" s="24">
        <v>43384.34679398148</v>
      </c>
      <c r="G5" s="24">
        <v>43384.346863425926</v>
      </c>
      <c r="H5" s="24"/>
      <c r="I5" s="24">
        <v>289</v>
      </c>
      <c r="J5" s="24">
        <v>0</v>
      </c>
      <c r="K5" s="24">
        <v>5</v>
      </c>
      <c r="L5" s="24">
        <v>0</v>
      </c>
      <c r="M5" s="24">
        <v>0</v>
      </c>
      <c r="N5" s="24">
        <v>0</v>
      </c>
      <c r="O5" s="24">
        <v>0</v>
      </c>
      <c r="P5" s="24">
        <v>0</v>
      </c>
      <c r="Q5" s="24">
        <v>0</v>
      </c>
      <c r="R5" s="24">
        <v>0</v>
      </c>
      <c r="S5" s="24">
        <v>0</v>
      </c>
      <c r="T5" s="24">
        <v>1</v>
      </c>
      <c r="U5" s="24" t="str">
        <f>tbl_hojascb_estado_hoy[[#This Row],[empresa]]&amp;tbl_hojascb_estado_hoy[[#This Row],[hoja_cb]]</f>
        <v>MOTORALMORADICIONALES.xlsm</v>
      </c>
    </row>
    <row r="6" spans="1:21" x14ac:dyDescent="0.25">
      <c r="A6" t="s">
        <v>238</v>
      </c>
      <c r="B6" t="s">
        <v>279</v>
      </c>
      <c r="C6">
        <v>1</v>
      </c>
      <c r="D6">
        <v>1</v>
      </c>
      <c r="E6" s="24">
        <v>43384.34710648148</v>
      </c>
      <c r="F6" s="24">
        <v>43384.349004629628</v>
      </c>
      <c r="G6" s="24">
        <v>43384.349108796298</v>
      </c>
      <c r="H6" s="24"/>
      <c r="I6" s="24">
        <v>303</v>
      </c>
      <c r="J6" s="24">
        <v>0</v>
      </c>
      <c r="K6" s="24">
        <v>301</v>
      </c>
      <c r="L6" s="24">
        <v>152</v>
      </c>
      <c r="M6" s="24">
        <v>276000.83</v>
      </c>
      <c r="N6" s="24">
        <v>217780.46</v>
      </c>
      <c r="O6" s="24">
        <v>9526.69</v>
      </c>
      <c r="P6" s="24">
        <v>0</v>
      </c>
      <c r="Q6" s="24">
        <v>0</v>
      </c>
      <c r="R6" s="24">
        <v>227307.15</v>
      </c>
      <c r="S6" s="24">
        <v>227307.15</v>
      </c>
      <c r="T6" s="24">
        <v>3</v>
      </c>
      <c r="U6" s="24" t="str">
        <f>tbl_hojascb_estado_hoy[[#This Row],[empresa]]&amp;tbl_hojascb_estado_hoy[[#This Row],[hoja_cb]]</f>
        <v>MOTORALMORCBGX.xlsm</v>
      </c>
    </row>
    <row r="7" spans="1:21" x14ac:dyDescent="0.25">
      <c r="A7" t="s">
        <v>238</v>
      </c>
      <c r="B7" t="s">
        <v>6</v>
      </c>
      <c r="C7">
        <v>1</v>
      </c>
      <c r="D7">
        <v>1</v>
      </c>
      <c r="E7" s="24">
        <v>43385.658831018518</v>
      </c>
      <c r="F7" s="24">
        <v>43385.662789351853</v>
      </c>
      <c r="G7" s="24">
        <v>43385.776446759257</v>
      </c>
      <c r="H7" s="24"/>
      <c r="I7" s="24">
        <v>340</v>
      </c>
      <c r="J7" s="24">
        <v>0</v>
      </c>
      <c r="K7" s="24">
        <v>953</v>
      </c>
      <c r="L7" s="24">
        <v>862</v>
      </c>
      <c r="M7" s="24">
        <v>1374557.22</v>
      </c>
      <c r="N7" s="24">
        <v>518242.44</v>
      </c>
      <c r="O7" s="24">
        <v>218962.57</v>
      </c>
      <c r="P7" s="24">
        <v>0</v>
      </c>
      <c r="Q7" s="24">
        <v>0</v>
      </c>
      <c r="R7" s="24">
        <v>737205.01</v>
      </c>
      <c r="S7" s="24">
        <v>737205.01</v>
      </c>
      <c r="T7" s="24">
        <v>4</v>
      </c>
      <c r="U7" s="24" t="str">
        <f>tbl_hojascb_estado_hoy[[#This Row],[empresa]]&amp;tbl_hojascb_estado_hoy[[#This Row],[hoja_cb]]</f>
        <v>MOTORALMORControl Buffers.xlsm</v>
      </c>
    </row>
    <row r="8" spans="1:21" x14ac:dyDescent="0.25">
      <c r="A8" t="s">
        <v>238</v>
      </c>
      <c r="B8" t="s">
        <v>288</v>
      </c>
      <c r="C8">
        <v>1</v>
      </c>
      <c r="D8">
        <v>1</v>
      </c>
      <c r="E8" s="24">
        <v>43384.349409722221</v>
      </c>
      <c r="F8" s="24">
        <v>43384.351770833331</v>
      </c>
      <c r="G8" s="24">
        <v>43384.351851851854</v>
      </c>
      <c r="H8" s="24"/>
      <c r="I8" s="24">
        <v>316</v>
      </c>
      <c r="J8" s="24">
        <v>0</v>
      </c>
      <c r="K8" s="24">
        <v>412</v>
      </c>
      <c r="L8" s="24">
        <v>311</v>
      </c>
      <c r="M8" s="24">
        <v>535196.82999999996</v>
      </c>
      <c r="N8" s="24">
        <v>222565.83</v>
      </c>
      <c r="O8" s="24">
        <v>96926.74</v>
      </c>
      <c r="P8" s="24">
        <v>0</v>
      </c>
      <c r="Q8" s="24">
        <v>0</v>
      </c>
      <c r="R8" s="24">
        <v>319492.57</v>
      </c>
      <c r="S8" s="24">
        <v>319492.57</v>
      </c>
      <c r="T8" s="24">
        <v>3</v>
      </c>
      <c r="U8" s="24" t="str">
        <f>tbl_hojascb_estado_hoy[[#This Row],[empresa]]&amp;tbl_hojascb_estado_hoy[[#This Row],[hoja_cb]]</f>
        <v>MOTORALMORCPAI.xlsm</v>
      </c>
    </row>
    <row r="9" spans="1:21" x14ac:dyDescent="0.25">
      <c r="A9" t="s">
        <v>238</v>
      </c>
      <c r="B9" t="s">
        <v>280</v>
      </c>
      <c r="C9">
        <v>1</v>
      </c>
      <c r="D9">
        <v>1</v>
      </c>
      <c r="E9" s="24">
        <v>43367.212384259263</v>
      </c>
      <c r="F9" s="24">
        <v>43367.213831018518</v>
      </c>
      <c r="G9" s="24">
        <v>43367.717268518521</v>
      </c>
      <c r="H9" s="24"/>
      <c r="I9" s="24">
        <v>327</v>
      </c>
      <c r="J9" s="24">
        <v>0</v>
      </c>
      <c r="K9" s="24">
        <v>199</v>
      </c>
      <c r="L9" s="24">
        <v>189</v>
      </c>
      <c r="M9" s="24">
        <v>424349.47</v>
      </c>
      <c r="N9" s="24">
        <v>146305.07</v>
      </c>
      <c r="O9" s="24">
        <v>81583.62</v>
      </c>
      <c r="P9" s="24">
        <v>0</v>
      </c>
      <c r="Q9" s="24">
        <v>0</v>
      </c>
      <c r="R9" s="24">
        <v>227888.69</v>
      </c>
      <c r="S9" s="24">
        <v>227888.69</v>
      </c>
      <c r="T9" s="24">
        <v>3</v>
      </c>
      <c r="U9" s="24" t="str">
        <f>tbl_hojascb_estado_hoy[[#This Row],[empresa]]&amp;tbl_hojascb_estado_hoy[[#This Row],[hoja_cb]]</f>
        <v>MOTORALMORCTJE.xlsm</v>
      </c>
    </row>
    <row r="10" spans="1:21" x14ac:dyDescent="0.25">
      <c r="A10" t="s">
        <v>238</v>
      </c>
      <c r="B10" t="s">
        <v>290</v>
      </c>
      <c r="C10">
        <v>1</v>
      </c>
      <c r="D10">
        <v>1</v>
      </c>
      <c r="E10" s="24">
        <v>43363.21402777778</v>
      </c>
      <c r="F10" s="24">
        <v>43363.21607638889</v>
      </c>
      <c r="G10" s="24">
        <v>43363.216145833336</v>
      </c>
      <c r="H10" s="24"/>
      <c r="I10" s="24">
        <v>325</v>
      </c>
      <c r="J10" s="24">
        <v>801</v>
      </c>
      <c r="K10" s="24">
        <v>806</v>
      </c>
      <c r="L10" s="24">
        <v>519</v>
      </c>
      <c r="M10" s="24">
        <v>594837.17000000004</v>
      </c>
      <c r="N10" s="24">
        <v>375783.44</v>
      </c>
      <c r="O10" s="24">
        <v>76151.73</v>
      </c>
      <c r="P10" s="24">
        <v>0</v>
      </c>
      <c r="Q10" s="24">
        <v>0</v>
      </c>
      <c r="R10" s="24">
        <v>451935.17</v>
      </c>
      <c r="S10" s="24">
        <v>451935.17</v>
      </c>
      <c r="T10" s="24">
        <v>5</v>
      </c>
      <c r="U10" s="24" t="str">
        <f>tbl_hojascb_estado_hoy[[#This Row],[empresa]]&amp;tbl_hojascb_estado_hoy[[#This Row],[hoja_cb]]</f>
        <v>MOTORALMORMJJS.xlsm</v>
      </c>
    </row>
    <row r="11" spans="1:21" x14ac:dyDescent="0.25">
      <c r="A11" t="s">
        <v>238</v>
      </c>
      <c r="B11" t="s">
        <v>281</v>
      </c>
      <c r="C11">
        <v>1</v>
      </c>
      <c r="D11">
        <v>1</v>
      </c>
      <c r="E11" s="24">
        <v>43384.352118055554</v>
      </c>
      <c r="F11" s="24">
        <v>43384.353703703702</v>
      </c>
      <c r="G11" s="24">
        <v>43384.353784722225</v>
      </c>
      <c r="H11" s="24"/>
      <c r="I11" s="24">
        <v>284</v>
      </c>
      <c r="J11" s="24">
        <v>0</v>
      </c>
      <c r="K11" s="24">
        <v>243</v>
      </c>
      <c r="L11" s="24">
        <v>99</v>
      </c>
      <c r="M11" s="24">
        <v>331786.56</v>
      </c>
      <c r="N11" s="24">
        <v>136194.03</v>
      </c>
      <c r="O11" s="24">
        <v>113290.44</v>
      </c>
      <c r="P11" s="24">
        <v>0</v>
      </c>
      <c r="Q11" s="24">
        <v>0</v>
      </c>
      <c r="R11" s="24">
        <v>249484.47</v>
      </c>
      <c r="S11" s="24">
        <v>249484.47</v>
      </c>
      <c r="T11" s="24">
        <v>3</v>
      </c>
      <c r="U11" s="24" t="str">
        <f>tbl_hojascb_estado_hoy[[#This Row],[empresa]]&amp;tbl_hojascb_estado_hoy[[#This Row],[hoja_cb]]</f>
        <v>MOTORALMORORJF.xlsm</v>
      </c>
    </row>
    <row r="12" spans="1:21" x14ac:dyDescent="0.25">
      <c r="A12" t="s">
        <v>238</v>
      </c>
      <c r="B12" t="s">
        <v>282</v>
      </c>
      <c r="C12">
        <v>1</v>
      </c>
      <c r="D12">
        <v>1</v>
      </c>
      <c r="E12" s="24">
        <v>43390.564039351855</v>
      </c>
      <c r="F12" s="24">
        <v>43390.568240740744</v>
      </c>
      <c r="G12" s="24">
        <v>43411.487303240741</v>
      </c>
      <c r="H12" s="24"/>
      <c r="I12" s="24">
        <v>357</v>
      </c>
      <c r="J12" s="24">
        <v>0</v>
      </c>
      <c r="K12" s="24">
        <v>953</v>
      </c>
      <c r="L12" s="24">
        <v>862</v>
      </c>
      <c r="M12" s="24">
        <v>1374622.14</v>
      </c>
      <c r="N12" s="24">
        <v>518242.44</v>
      </c>
      <c r="O12" s="24">
        <v>218962.57</v>
      </c>
      <c r="P12" s="24">
        <v>0</v>
      </c>
      <c r="Q12" s="24">
        <v>0</v>
      </c>
      <c r="R12" s="24">
        <v>737205.01</v>
      </c>
      <c r="S12" s="24">
        <v>737205.01</v>
      </c>
      <c r="T12" s="24">
        <v>4</v>
      </c>
      <c r="U12" s="24" t="str">
        <f>tbl_hojascb_estado_hoy[[#This Row],[empresa]]&amp;tbl_hojascb_estado_hoy[[#This Row],[hoja_cb]]</f>
        <v>MOTORALMORRRFA.xlsm</v>
      </c>
    </row>
    <row r="13" spans="1:21" x14ac:dyDescent="0.25">
      <c r="A13" t="s">
        <v>238</v>
      </c>
      <c r="B13" t="s">
        <v>289</v>
      </c>
      <c r="C13">
        <v>1</v>
      </c>
      <c r="D13">
        <v>1</v>
      </c>
      <c r="E13" s="24">
        <v>43384.358611111114</v>
      </c>
      <c r="F13" s="24">
        <v>43384.363009259258</v>
      </c>
      <c r="G13" s="24">
        <v>43384.363113425927</v>
      </c>
      <c r="H13" s="24"/>
      <c r="I13" s="24">
        <v>385</v>
      </c>
      <c r="J13" s="24">
        <v>0</v>
      </c>
      <c r="K13" s="24">
        <v>986</v>
      </c>
      <c r="L13" s="24">
        <v>780</v>
      </c>
      <c r="M13" s="24">
        <v>640414.06999999995</v>
      </c>
      <c r="N13" s="24">
        <v>293508.44</v>
      </c>
      <c r="O13" s="24">
        <v>90277.26</v>
      </c>
      <c r="P13" s="24">
        <v>0</v>
      </c>
      <c r="Q13" s="24">
        <v>0</v>
      </c>
      <c r="R13" s="24">
        <v>383785.7</v>
      </c>
      <c r="S13" s="24">
        <v>383785.7</v>
      </c>
      <c r="T13" s="24">
        <v>5</v>
      </c>
      <c r="U13" s="24" t="str">
        <f>tbl_hojascb_estado_hoy[[#This Row],[empresa]]&amp;tbl_hojascb_estado_hoy[[#This Row],[hoja_cb]]</f>
        <v>MOTORALMORSCMG.xlsm</v>
      </c>
    </row>
    <row r="14" spans="1:21" x14ac:dyDescent="0.25">
      <c r="A14" t="s">
        <v>238</v>
      </c>
      <c r="B14" t="s">
        <v>284</v>
      </c>
      <c r="C14">
        <v>1</v>
      </c>
      <c r="D14">
        <v>1</v>
      </c>
      <c r="E14" s="24">
        <v>43384.363437499997</v>
      </c>
      <c r="F14" s="24">
        <v>43384.366018518522</v>
      </c>
      <c r="G14" s="24">
        <v>43384.366111111114</v>
      </c>
      <c r="H14" s="24"/>
      <c r="I14" s="24">
        <v>289</v>
      </c>
      <c r="J14" s="24">
        <v>0</v>
      </c>
      <c r="K14" s="24">
        <v>492</v>
      </c>
      <c r="L14" s="24">
        <v>302</v>
      </c>
      <c r="M14" s="24">
        <v>1150677.71</v>
      </c>
      <c r="N14" s="24">
        <v>874344.07</v>
      </c>
      <c r="O14" s="24">
        <v>198003.4</v>
      </c>
      <c r="P14" s="24">
        <v>0</v>
      </c>
      <c r="Q14" s="24">
        <v>0</v>
      </c>
      <c r="R14" s="24">
        <v>1072347.47</v>
      </c>
      <c r="S14" s="24">
        <v>1072347.47</v>
      </c>
      <c r="T14" s="24">
        <v>2</v>
      </c>
      <c r="U14" s="24" t="str">
        <f>tbl_hojascb_estado_hoy[[#This Row],[empresa]]&amp;tbl_hojascb_estado_hoy[[#This Row],[hoja_cb]]</f>
        <v>MOTORALMORTVLM.xlsm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73"/>
  <sheetViews>
    <sheetView showGridLines="0" workbookViewId="0">
      <selection activeCell="B1" sqref="B1"/>
    </sheetView>
  </sheetViews>
  <sheetFormatPr baseColWidth="10" defaultRowHeight="15" x14ac:dyDescent="0.25"/>
  <cols>
    <col min="1" max="2" width="14.42578125" bestFit="1" customWidth="1"/>
    <col min="3" max="3" width="88.85546875" customWidth="1"/>
  </cols>
  <sheetData>
    <row r="1" spans="1:3" x14ac:dyDescent="0.25">
      <c r="A1" t="s">
        <v>114</v>
      </c>
      <c r="B1" t="s">
        <v>112</v>
      </c>
      <c r="C1" t="s">
        <v>113</v>
      </c>
    </row>
    <row r="2" spans="1:3" x14ac:dyDescent="0.25">
      <c r="A2">
        <f>ROW()-ROW(Indicaciones[[#Headers],[ID]])</f>
        <v>1</v>
      </c>
      <c r="C2" t="s">
        <v>199</v>
      </c>
    </row>
    <row r="3" spans="1:3" x14ac:dyDescent="0.25">
      <c r="A3">
        <f>ROW()-ROW(Indicaciones[[#Headers],[ID]])</f>
        <v>2</v>
      </c>
      <c r="C3" t="s">
        <v>200</v>
      </c>
    </row>
    <row r="4" spans="1:3" x14ac:dyDescent="0.25">
      <c r="A4" s="2">
        <f>ROW()-ROW(Indicaciones[[#Headers],[ID]])</f>
        <v>3</v>
      </c>
      <c r="C4" t="s">
        <v>201</v>
      </c>
    </row>
    <row r="5" spans="1:3" x14ac:dyDescent="0.25">
      <c r="A5" s="2">
        <f>ROW()-ROW(Indicaciones[[#Headers],[ID]])</f>
        <v>4</v>
      </c>
      <c r="C5" t="s">
        <v>202</v>
      </c>
    </row>
    <row r="6" spans="1:3" x14ac:dyDescent="0.25">
      <c r="A6" s="2">
        <f>ROW()-ROW(Indicaciones[[#Headers],[ID]])</f>
        <v>5</v>
      </c>
      <c r="C6" t="s">
        <v>115</v>
      </c>
    </row>
    <row r="7" spans="1:3" x14ac:dyDescent="0.25">
      <c r="A7" s="2">
        <f>ROW()-ROW(Indicaciones[[#Headers],[ID]])</f>
        <v>6</v>
      </c>
      <c r="C7" t="s">
        <v>116</v>
      </c>
    </row>
    <row r="8" spans="1:3" x14ac:dyDescent="0.25">
      <c r="A8" s="2">
        <f>ROW()-ROW(Indicaciones[[#Headers],[ID]])</f>
        <v>7</v>
      </c>
      <c r="C8" t="s">
        <v>149</v>
      </c>
    </row>
    <row r="9" spans="1:3" x14ac:dyDescent="0.25">
      <c r="A9" s="2">
        <f>ROW()-ROW(Indicaciones[[#Headers],[ID]])</f>
        <v>8</v>
      </c>
      <c r="C9" t="s">
        <v>203</v>
      </c>
    </row>
    <row r="10" spans="1:3" x14ac:dyDescent="0.25">
      <c r="A10" s="2">
        <f>ROW()-ROW(Indicaciones[[#Headers],[ID]])</f>
        <v>9</v>
      </c>
      <c r="C10" t="s">
        <v>117</v>
      </c>
    </row>
    <row r="11" spans="1:3" x14ac:dyDescent="0.25">
      <c r="A11" s="2">
        <f>ROW()-ROW(Indicaciones[[#Headers],[ID]])</f>
        <v>10</v>
      </c>
      <c r="C11" t="s">
        <v>140</v>
      </c>
    </row>
    <row r="12" spans="1:3" x14ac:dyDescent="0.25">
      <c r="A12" s="2">
        <f>ROW()-ROW(Indicaciones[[#Headers],[ID]])</f>
        <v>11</v>
      </c>
      <c r="C12" t="s">
        <v>141</v>
      </c>
    </row>
    <row r="13" spans="1:3" x14ac:dyDescent="0.25">
      <c r="A13" s="2">
        <f>ROW()-ROW(Indicaciones[[#Headers],[ID]])</f>
        <v>12</v>
      </c>
      <c r="C13" t="s">
        <v>118</v>
      </c>
    </row>
    <row r="14" spans="1:3" x14ac:dyDescent="0.25">
      <c r="A14" s="2">
        <f>ROW()-ROW(Indicaciones[[#Headers],[ID]])</f>
        <v>13</v>
      </c>
      <c r="C14" t="s">
        <v>119</v>
      </c>
    </row>
    <row r="15" spans="1:3" x14ac:dyDescent="0.25">
      <c r="A15" s="2">
        <f>ROW()-ROW(Indicaciones[[#Headers],[ID]])</f>
        <v>14</v>
      </c>
      <c r="C15" t="s">
        <v>120</v>
      </c>
    </row>
    <row r="16" spans="1:3" x14ac:dyDescent="0.25">
      <c r="A16" s="2">
        <f>ROW()-ROW(Indicaciones[[#Headers],[ID]])</f>
        <v>15</v>
      </c>
      <c r="C16" t="s">
        <v>121</v>
      </c>
    </row>
    <row r="17" spans="1:3" x14ac:dyDescent="0.25">
      <c r="A17" s="2">
        <f>ROW()-ROW(Indicaciones[[#Headers],[ID]])</f>
        <v>16</v>
      </c>
      <c r="C17" t="s">
        <v>122</v>
      </c>
    </row>
    <row r="18" spans="1:3" x14ac:dyDescent="0.25">
      <c r="A18" s="2">
        <f>ROW()-ROW(Indicaciones[[#Headers],[ID]])</f>
        <v>17</v>
      </c>
      <c r="C18" t="s">
        <v>152</v>
      </c>
    </row>
    <row r="19" spans="1:3" x14ac:dyDescent="0.25">
      <c r="A19" s="2">
        <f>ROW()-ROW(Indicaciones[[#Headers],[ID]])</f>
        <v>18</v>
      </c>
      <c r="C19" t="s">
        <v>123</v>
      </c>
    </row>
    <row r="20" spans="1:3" x14ac:dyDescent="0.25">
      <c r="A20" s="2">
        <f>ROW()-ROW(Indicaciones[[#Headers],[ID]])</f>
        <v>19</v>
      </c>
      <c r="C20" t="s">
        <v>124</v>
      </c>
    </row>
    <row r="21" spans="1:3" x14ac:dyDescent="0.25">
      <c r="A21" s="2">
        <f>ROW()-ROW(Indicaciones[[#Headers],[ID]])</f>
        <v>20</v>
      </c>
      <c r="C21" t="s">
        <v>125</v>
      </c>
    </row>
    <row r="22" spans="1:3" x14ac:dyDescent="0.25">
      <c r="A22" s="2">
        <f>ROW()-ROW(Indicaciones[[#Headers],[ID]])</f>
        <v>21</v>
      </c>
      <c r="C22" t="s">
        <v>126</v>
      </c>
    </row>
    <row r="23" spans="1:3" x14ac:dyDescent="0.25">
      <c r="A23" s="2">
        <f>ROW()-ROW(Indicaciones[[#Headers],[ID]])</f>
        <v>22</v>
      </c>
      <c r="C23" t="s">
        <v>127</v>
      </c>
    </row>
    <row r="24" spans="1:3" x14ac:dyDescent="0.25">
      <c r="A24" s="2">
        <f>ROW()-ROW(Indicaciones[[#Headers],[ID]])</f>
        <v>23</v>
      </c>
      <c r="C24" t="s">
        <v>128</v>
      </c>
    </row>
    <row r="25" spans="1:3" x14ac:dyDescent="0.25">
      <c r="A25" s="2">
        <f>ROW()-ROW(Indicaciones[[#Headers],[ID]])</f>
        <v>24</v>
      </c>
      <c r="C25" t="s">
        <v>129</v>
      </c>
    </row>
    <row r="26" spans="1:3" x14ac:dyDescent="0.25">
      <c r="A26" s="2">
        <f>ROW()-ROW(Indicaciones[[#Headers],[ID]])</f>
        <v>25</v>
      </c>
      <c r="C26" t="s">
        <v>130</v>
      </c>
    </row>
    <row r="27" spans="1:3" x14ac:dyDescent="0.25">
      <c r="A27" s="2">
        <f>ROW()-ROW(Indicaciones[[#Headers],[ID]])</f>
        <v>26</v>
      </c>
      <c r="C27" t="s">
        <v>131</v>
      </c>
    </row>
    <row r="28" spans="1:3" x14ac:dyDescent="0.25">
      <c r="A28" s="2">
        <f>ROW()-ROW(Indicaciones[[#Headers],[ID]])</f>
        <v>27</v>
      </c>
      <c r="C28" t="s">
        <v>132</v>
      </c>
    </row>
    <row r="29" spans="1:3" x14ac:dyDescent="0.25">
      <c r="A29" s="2">
        <f>ROW()-ROW(Indicaciones[[#Headers],[ID]])</f>
        <v>28</v>
      </c>
      <c r="C29" t="s">
        <v>133</v>
      </c>
    </row>
    <row r="30" spans="1:3" x14ac:dyDescent="0.25">
      <c r="A30" s="2">
        <f>ROW()-ROW(Indicaciones[[#Headers],[ID]])</f>
        <v>29</v>
      </c>
      <c r="C30" t="s">
        <v>134</v>
      </c>
    </row>
    <row r="31" spans="1:3" x14ac:dyDescent="0.25">
      <c r="A31" s="2">
        <f>ROW()-ROW(Indicaciones[[#Headers],[ID]])</f>
        <v>30</v>
      </c>
      <c r="C31" t="s">
        <v>135</v>
      </c>
    </row>
    <row r="32" spans="1:3" x14ac:dyDescent="0.25">
      <c r="A32" s="2">
        <f>ROW()-ROW(Indicaciones[[#Headers],[ID]])</f>
        <v>31</v>
      </c>
      <c r="C32" t="s">
        <v>136</v>
      </c>
    </row>
    <row r="33" spans="1:3" x14ac:dyDescent="0.25">
      <c r="A33" s="2">
        <f>ROW()-ROW(Indicaciones[[#Headers],[ID]])</f>
        <v>32</v>
      </c>
      <c r="C33" t="s">
        <v>137</v>
      </c>
    </row>
    <row r="34" spans="1:3" x14ac:dyDescent="0.25">
      <c r="A34" s="2">
        <f>ROW()-ROW(Indicaciones[[#Headers],[ID]])</f>
        <v>33</v>
      </c>
      <c r="C34" t="s">
        <v>138</v>
      </c>
    </row>
    <row r="35" spans="1:3" x14ac:dyDescent="0.25">
      <c r="A35" s="2">
        <f>ROW()-ROW(Indicaciones[[#Headers],[ID]])</f>
        <v>34</v>
      </c>
      <c r="C35" t="s">
        <v>139</v>
      </c>
    </row>
    <row r="36" spans="1:3" x14ac:dyDescent="0.25">
      <c r="A36" s="2">
        <f>ROW()-ROW(Indicaciones[[#Headers],[ID]])</f>
        <v>35</v>
      </c>
      <c r="C36" t="s">
        <v>142</v>
      </c>
    </row>
    <row r="37" spans="1:3" x14ac:dyDescent="0.25">
      <c r="A37" s="2">
        <f>ROW()-ROW(Indicaciones[[#Headers],[ID]])</f>
        <v>36</v>
      </c>
      <c r="C37" t="s">
        <v>143</v>
      </c>
    </row>
    <row r="38" spans="1:3" x14ac:dyDescent="0.25">
      <c r="A38" s="2">
        <f>ROW()-ROW(Indicaciones[[#Headers],[ID]])</f>
        <v>37</v>
      </c>
      <c r="C38" t="s">
        <v>144</v>
      </c>
    </row>
    <row r="39" spans="1:3" x14ac:dyDescent="0.25">
      <c r="A39" s="2">
        <f>ROW()-ROW(Indicaciones[[#Headers],[ID]])</f>
        <v>38</v>
      </c>
      <c r="C39" t="s">
        <v>145</v>
      </c>
    </row>
    <row r="40" spans="1:3" x14ac:dyDescent="0.25">
      <c r="A40" s="2">
        <f>ROW()-ROW(Indicaciones[[#Headers],[ID]])</f>
        <v>39</v>
      </c>
      <c r="C40" t="s">
        <v>146</v>
      </c>
    </row>
    <row r="41" spans="1:3" x14ac:dyDescent="0.25">
      <c r="A41" s="2">
        <f>ROW()-ROW(Indicaciones[[#Headers],[ID]])</f>
        <v>40</v>
      </c>
      <c r="C41" t="s">
        <v>147</v>
      </c>
    </row>
    <row r="42" spans="1:3" x14ac:dyDescent="0.25">
      <c r="A42" s="2">
        <f>ROW()-ROW(Indicaciones[[#Headers],[ID]])</f>
        <v>41</v>
      </c>
      <c r="C42" t="s">
        <v>148</v>
      </c>
    </row>
    <row r="43" spans="1:3" x14ac:dyDescent="0.25">
      <c r="A43" s="2">
        <f>ROW()-ROW(Indicaciones[[#Headers],[ID]])</f>
        <v>42</v>
      </c>
      <c r="C43" t="s">
        <v>204</v>
      </c>
    </row>
    <row r="44" spans="1:3" x14ac:dyDescent="0.25">
      <c r="A44" s="2">
        <f>ROW()-ROW(Indicaciones[[#Headers],[ID]])</f>
        <v>43</v>
      </c>
      <c r="C44" t="s">
        <v>205</v>
      </c>
    </row>
    <row r="45" spans="1:3" x14ac:dyDescent="0.25">
      <c r="A45" s="2">
        <f>ROW()-ROW(Indicaciones[[#Headers],[ID]])</f>
        <v>44</v>
      </c>
      <c r="C45" t="s">
        <v>206</v>
      </c>
    </row>
    <row r="46" spans="1:3" x14ac:dyDescent="0.25">
      <c r="A46" s="2">
        <f>ROW()-ROW(Indicaciones[[#Headers],[ID]])</f>
        <v>45</v>
      </c>
      <c r="C46" t="s">
        <v>207</v>
      </c>
    </row>
    <row r="47" spans="1:3" x14ac:dyDescent="0.25">
      <c r="A47" s="2">
        <f>ROW()-ROW(Indicaciones[[#Headers],[ID]])</f>
        <v>46</v>
      </c>
      <c r="C47" t="s">
        <v>208</v>
      </c>
    </row>
    <row r="48" spans="1:3" x14ac:dyDescent="0.25">
      <c r="A48" s="2">
        <f>ROW()-ROW(Indicaciones[[#Headers],[ID]])</f>
        <v>47</v>
      </c>
      <c r="C48" t="s">
        <v>209</v>
      </c>
    </row>
    <row r="49" spans="1:3" x14ac:dyDescent="0.25">
      <c r="A49" s="2">
        <f>ROW()-ROW(Indicaciones[[#Headers],[ID]])</f>
        <v>48</v>
      </c>
      <c r="C49" t="s">
        <v>210</v>
      </c>
    </row>
    <row r="50" spans="1:3" x14ac:dyDescent="0.25">
      <c r="A50" s="2">
        <f>ROW()-ROW(Indicaciones[[#Headers],[ID]])</f>
        <v>49</v>
      </c>
      <c r="C50" t="s">
        <v>211</v>
      </c>
    </row>
    <row r="51" spans="1:3" x14ac:dyDescent="0.25">
      <c r="A51" s="2">
        <f>ROW()-ROW(Indicaciones[[#Headers],[ID]])</f>
        <v>50</v>
      </c>
      <c r="C51" t="s">
        <v>212</v>
      </c>
    </row>
    <row r="52" spans="1:3" x14ac:dyDescent="0.25">
      <c r="A52" s="2">
        <f>ROW()-ROW(Indicaciones[[#Headers],[ID]])</f>
        <v>51</v>
      </c>
      <c r="C52" t="s">
        <v>213</v>
      </c>
    </row>
    <row r="53" spans="1:3" x14ac:dyDescent="0.25">
      <c r="A53" s="2">
        <f>ROW()-ROW(Indicaciones[[#Headers],[ID]])</f>
        <v>52</v>
      </c>
      <c r="C53" t="s">
        <v>214</v>
      </c>
    </row>
    <row r="54" spans="1:3" x14ac:dyDescent="0.25">
      <c r="A54" s="2">
        <f>ROW()-ROW(Indicaciones[[#Headers],[ID]])</f>
        <v>53</v>
      </c>
      <c r="C54" t="s">
        <v>215</v>
      </c>
    </row>
    <row r="55" spans="1:3" x14ac:dyDescent="0.25">
      <c r="A55" s="2">
        <f>ROW()-ROW(Indicaciones[[#Headers],[ID]])</f>
        <v>54</v>
      </c>
      <c r="C55" t="s">
        <v>216</v>
      </c>
    </row>
    <row r="56" spans="1:3" x14ac:dyDescent="0.25">
      <c r="A56" s="2">
        <f>ROW()-ROW(Indicaciones[[#Headers],[ID]])</f>
        <v>55</v>
      </c>
      <c r="C56" t="s">
        <v>217</v>
      </c>
    </row>
    <row r="57" spans="1:3" x14ac:dyDescent="0.25">
      <c r="A57" s="2">
        <f>ROW()-ROW(Indicaciones[[#Headers],[ID]])</f>
        <v>56</v>
      </c>
      <c r="C57" t="s">
        <v>218</v>
      </c>
    </row>
    <row r="58" spans="1:3" x14ac:dyDescent="0.25">
      <c r="A58" s="2">
        <f>ROW()-ROW(Indicaciones[[#Headers],[ID]])</f>
        <v>57</v>
      </c>
      <c r="C58" t="s">
        <v>219</v>
      </c>
    </row>
    <row r="59" spans="1:3" x14ac:dyDescent="0.25">
      <c r="A59" s="2">
        <f>ROW()-ROW(Indicaciones[[#Headers],[ID]])</f>
        <v>58</v>
      </c>
      <c r="C59" t="s">
        <v>220</v>
      </c>
    </row>
    <row r="60" spans="1:3" x14ac:dyDescent="0.25">
      <c r="A60" s="2">
        <f>ROW()-ROW(Indicaciones[[#Headers],[ID]])</f>
        <v>59</v>
      </c>
      <c r="C60" t="s">
        <v>224</v>
      </c>
    </row>
    <row r="61" spans="1:3" x14ac:dyDescent="0.25">
      <c r="A61" s="2">
        <f>ROW()-ROW(Indicaciones[[#Headers],[ID]])</f>
        <v>60</v>
      </c>
      <c r="C61" t="s">
        <v>225</v>
      </c>
    </row>
    <row r="62" spans="1:3" x14ac:dyDescent="0.25">
      <c r="A62" s="2">
        <f>ROW()-ROW(Indicaciones[[#Headers],[ID]])</f>
        <v>61</v>
      </c>
      <c r="C62" t="s">
        <v>226</v>
      </c>
    </row>
    <row r="63" spans="1:3" x14ac:dyDescent="0.25">
      <c r="A63" s="2">
        <f>ROW()-ROW(Indicaciones[[#Headers],[ID]])</f>
        <v>62</v>
      </c>
      <c r="C63" t="s">
        <v>227</v>
      </c>
    </row>
    <row r="64" spans="1:3" x14ac:dyDescent="0.25">
      <c r="A64" s="2">
        <f>ROW()-ROW(Indicaciones[[#Headers],[ID]])</f>
        <v>63</v>
      </c>
      <c r="C64" t="s">
        <v>228</v>
      </c>
    </row>
    <row r="65" spans="1:3" x14ac:dyDescent="0.25">
      <c r="A65" s="2">
        <f>ROW()-ROW(Indicaciones[[#Headers],[ID]])</f>
        <v>64</v>
      </c>
      <c r="C65" t="s">
        <v>229</v>
      </c>
    </row>
    <row r="66" spans="1:3" x14ac:dyDescent="0.25">
      <c r="A66" s="2">
        <f>ROW()-ROW(Indicaciones[[#Headers],[ID]])</f>
        <v>65</v>
      </c>
      <c r="C66" t="s">
        <v>230</v>
      </c>
    </row>
    <row r="67" spans="1:3" x14ac:dyDescent="0.25">
      <c r="A67" s="2">
        <f>ROW()-ROW(Indicaciones[[#Headers],[ID]])</f>
        <v>66</v>
      </c>
      <c r="C67" t="s">
        <v>231</v>
      </c>
    </row>
    <row r="68" spans="1:3" x14ac:dyDescent="0.25">
      <c r="A68" s="2">
        <f>ROW()-ROW(Indicaciones[[#Headers],[ID]])</f>
        <v>67</v>
      </c>
      <c r="C68" t="s">
        <v>232</v>
      </c>
    </row>
    <row r="69" spans="1:3" x14ac:dyDescent="0.25">
      <c r="A69" s="2">
        <f>ROW()-ROW(Indicaciones[[#Headers],[ID]])</f>
        <v>68</v>
      </c>
      <c r="C69" t="s">
        <v>233</v>
      </c>
    </row>
    <row r="70" spans="1:3" x14ac:dyDescent="0.25">
      <c r="A70" s="2">
        <f>ROW()-ROW(Indicaciones[[#Headers],[ID]])</f>
        <v>69</v>
      </c>
      <c r="C70" t="s">
        <v>234</v>
      </c>
    </row>
    <row r="71" spans="1:3" x14ac:dyDescent="0.25">
      <c r="A71" s="2">
        <f>ROW()-ROW(Indicaciones[[#Headers],[ID]])</f>
        <v>70</v>
      </c>
      <c r="C71" t="s">
        <v>235</v>
      </c>
    </row>
    <row r="72" spans="1:3" x14ac:dyDescent="0.25">
      <c r="A72" s="2">
        <f>ROW()-ROW(Indicaciones[[#Headers],[ID]])</f>
        <v>71</v>
      </c>
      <c r="C72" t="s">
        <v>236</v>
      </c>
    </row>
    <row r="73" spans="1:3" x14ac:dyDescent="0.25">
      <c r="A73" s="2">
        <f>ROW()-ROW(Indicaciones[[#Headers],[ID]])</f>
        <v>72</v>
      </c>
      <c r="C73" t="s">
        <v>237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78</v>
      </c>
    </row>
    <row r="24" spans="3:4" x14ac:dyDescent="0.25">
      <c r="C24">
        <v>1</v>
      </c>
      <c r="D24" t="s">
        <v>79</v>
      </c>
    </row>
    <row r="25" spans="3:4" x14ac:dyDescent="0.25">
      <c r="C25">
        <v>2</v>
      </c>
      <c r="D25" t="s">
        <v>80</v>
      </c>
    </row>
    <row r="26" spans="3:4" x14ac:dyDescent="0.25">
      <c r="C26">
        <v>3</v>
      </c>
      <c r="D26" t="s">
        <v>90</v>
      </c>
    </row>
    <row r="27" spans="3:4" x14ac:dyDescent="0.25">
      <c r="C27">
        <v>4</v>
      </c>
      <c r="D27" t="s">
        <v>81</v>
      </c>
    </row>
    <row r="28" spans="3:4" x14ac:dyDescent="0.25">
      <c r="C28">
        <v>5</v>
      </c>
      <c r="D28" t="s">
        <v>82</v>
      </c>
    </row>
    <row r="29" spans="3:4" x14ac:dyDescent="0.25">
      <c r="C29">
        <v>6</v>
      </c>
      <c r="D29" t="s">
        <v>83</v>
      </c>
    </row>
    <row r="30" spans="3:4" x14ac:dyDescent="0.25">
      <c r="C30">
        <v>7</v>
      </c>
      <c r="D30" t="s">
        <v>84</v>
      </c>
    </row>
    <row r="31" spans="3:4" x14ac:dyDescent="0.25">
      <c r="C31">
        <v>8</v>
      </c>
      <c r="D31" t="s">
        <v>85</v>
      </c>
    </row>
    <row r="32" spans="3:4" x14ac:dyDescent="0.25">
      <c r="C32">
        <v>9</v>
      </c>
      <c r="D32" t="s">
        <v>86</v>
      </c>
    </row>
    <row r="33" spans="3:4" x14ac:dyDescent="0.25">
      <c r="C33">
        <v>10</v>
      </c>
      <c r="D33" t="s">
        <v>87</v>
      </c>
    </row>
    <row r="34" spans="3:4" x14ac:dyDescent="0.25">
      <c r="C34">
        <v>10.1</v>
      </c>
      <c r="D34" t="s">
        <v>109</v>
      </c>
    </row>
    <row r="35" spans="3:4" x14ac:dyDescent="0.25">
      <c r="C35">
        <v>10.199999999999999</v>
      </c>
      <c r="D35" t="s">
        <v>150</v>
      </c>
    </row>
    <row r="36" spans="3:4" x14ac:dyDescent="0.25">
      <c r="C36">
        <v>11</v>
      </c>
      <c r="D36" t="s">
        <v>88</v>
      </c>
    </row>
    <row r="37" spans="3:4" x14ac:dyDescent="0.25">
      <c r="C37">
        <v>12</v>
      </c>
      <c r="D37" t="s">
        <v>91</v>
      </c>
    </row>
    <row r="38" spans="3:4" x14ac:dyDescent="0.25">
      <c r="C38">
        <v>13</v>
      </c>
      <c r="D38" t="s">
        <v>92</v>
      </c>
    </row>
    <row r="39" spans="3:4" x14ac:dyDescent="0.25">
      <c r="C39">
        <v>14</v>
      </c>
      <c r="D39" t="s">
        <v>93</v>
      </c>
    </row>
    <row r="40" spans="3:4" x14ac:dyDescent="0.25">
      <c r="C40">
        <v>15</v>
      </c>
      <c r="D40" t="s">
        <v>94</v>
      </c>
    </row>
    <row r="41" spans="3:4" x14ac:dyDescent="0.25">
      <c r="C41">
        <v>16</v>
      </c>
      <c r="D41" t="s">
        <v>95</v>
      </c>
    </row>
    <row r="42" spans="3:4" x14ac:dyDescent="0.25">
      <c r="C42">
        <v>17</v>
      </c>
      <c r="D42" t="s">
        <v>96</v>
      </c>
    </row>
    <row r="43" spans="3:4" x14ac:dyDescent="0.25">
      <c r="C43">
        <v>18</v>
      </c>
      <c r="D43" t="s">
        <v>97</v>
      </c>
    </row>
    <row r="44" spans="3:4" x14ac:dyDescent="0.25">
      <c r="C44">
        <v>19</v>
      </c>
      <c r="D44" t="s">
        <v>98</v>
      </c>
    </row>
    <row r="45" spans="3:4" x14ac:dyDescent="0.25">
      <c r="C45">
        <v>20</v>
      </c>
      <c r="D45" t="s">
        <v>100</v>
      </c>
    </row>
    <row r="46" spans="3:4" x14ac:dyDescent="0.25">
      <c r="C46">
        <v>21</v>
      </c>
      <c r="D46" t="s">
        <v>99</v>
      </c>
    </row>
    <row r="47" spans="3:4" x14ac:dyDescent="0.25">
      <c r="C47">
        <v>22</v>
      </c>
      <c r="D47" t="s">
        <v>101</v>
      </c>
    </row>
    <row r="48" spans="3:4" x14ac:dyDescent="0.25">
      <c r="C48">
        <v>23</v>
      </c>
      <c r="D48" t="s">
        <v>102</v>
      </c>
    </row>
    <row r="49" spans="3:4" x14ac:dyDescent="0.25">
      <c r="C49">
        <v>24</v>
      </c>
      <c r="D49" t="s">
        <v>103</v>
      </c>
    </row>
    <row r="50" spans="3:4" x14ac:dyDescent="0.25">
      <c r="C50">
        <v>25</v>
      </c>
      <c r="D50" t="s">
        <v>104</v>
      </c>
    </row>
    <row r="51" spans="3:4" x14ac:dyDescent="0.25">
      <c r="C51">
        <v>26</v>
      </c>
      <c r="D51" t="s">
        <v>106</v>
      </c>
    </row>
    <row r="52" spans="3:4" x14ac:dyDescent="0.25">
      <c r="C52">
        <v>27</v>
      </c>
      <c r="D52" t="s">
        <v>107</v>
      </c>
    </row>
    <row r="53" spans="3:4" x14ac:dyDescent="0.25">
      <c r="C53">
        <v>28</v>
      </c>
      <c r="D53" t="s">
        <v>105</v>
      </c>
    </row>
    <row r="54" spans="3:4" x14ac:dyDescent="0.25">
      <c r="C54">
        <v>29</v>
      </c>
      <c r="D54" t="s">
        <v>151</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K2" activePane="bottomRight" state="frozen"/>
      <selection pane="topRight" activeCell="G1" sqref="G1"/>
      <selection pane="bottomLeft" activeCell="A2" sqref="A2"/>
      <selection pane="bottomRight" activeCell="C11" sqref="C1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58</v>
      </c>
      <c r="D1" s="21" t="s">
        <v>59</v>
      </c>
      <c r="E1" s="21" t="s">
        <v>71</v>
      </c>
      <c r="F1" s="21" t="s">
        <v>153</v>
      </c>
      <c r="G1" s="21" t="s">
        <v>62</v>
      </c>
      <c r="H1" s="21" t="s">
        <v>63</v>
      </c>
      <c r="I1" s="21" t="s">
        <v>60</v>
      </c>
      <c r="J1" s="21" t="s">
        <v>77</v>
      </c>
      <c r="K1" s="21" t="s">
        <v>64</v>
      </c>
      <c r="L1" s="21" t="s">
        <v>70</v>
      </c>
      <c r="M1" s="21" t="s">
        <v>66</v>
      </c>
      <c r="N1" s="21" t="s">
        <v>65</v>
      </c>
      <c r="O1" s="21" t="s">
        <v>67</v>
      </c>
      <c r="P1" s="21" t="s">
        <v>68</v>
      </c>
      <c r="Q1" s="21" t="s">
        <v>69</v>
      </c>
    </row>
    <row r="2" spans="2:22" x14ac:dyDescent="0.25">
      <c r="D2" s="6"/>
      <c r="E2" s="6"/>
      <c r="F2" s="6"/>
      <c r="G2" s="26"/>
      <c r="H2" s="26"/>
      <c r="I2" s="25"/>
      <c r="J2" s="25"/>
      <c r="K2" s="22"/>
      <c r="L2" s="22"/>
      <c r="M2" s="22"/>
      <c r="N2" s="22"/>
      <c r="O2" s="23"/>
      <c r="P2" s="23"/>
      <c r="Q2" s="23"/>
      <c r="V2" s="24"/>
    </row>
    <row r="3" spans="2:22" x14ac:dyDescent="0.25">
      <c r="B3" t="s">
        <v>72</v>
      </c>
      <c r="C3" s="6">
        <f>SUBTOTAL(103,tbl_Fechas_Refrescado[HOJA CB])</f>
        <v>0</v>
      </c>
      <c r="D3" s="6"/>
      <c r="E3" s="6"/>
      <c r="F3" s="6"/>
      <c r="G3" s="26">
        <f>SUBTOTAL(105,tbl_Fechas_Refrescado[INICIO])</f>
        <v>0</v>
      </c>
      <c r="H3" s="26">
        <f>SUBTOTAL(104,tbl_Fechas_Refrescado[FIN])</f>
        <v>0</v>
      </c>
      <c r="I3" s="25">
        <f>SUBTOTAL(109,tbl_Fechas_Refrescado[DURACIÓN])</f>
        <v>0</v>
      </c>
      <c r="J3" s="25"/>
      <c r="K3" s="6">
        <f>SUBTOTAL(104,tbl_Fechas_Refrescado[DIAS PERIODO])</f>
        <v>0</v>
      </c>
      <c r="L3" s="6">
        <f>SUBTOTAL(109,tbl_Fechas_Refrescado[DUPLICADOS])</f>
        <v>0</v>
      </c>
      <c r="M3" s="6">
        <f>SUBTOTAL(109,tbl_Fechas_Refrescado[SKUs Totales])</f>
        <v>0</v>
      </c>
      <c r="N3" s="6">
        <f>SUBTOTAL(109,tbl_Fechas_Refrescado[SKUs Buffer])</f>
        <v>0</v>
      </c>
      <c r="O3" s="23">
        <f>SUBTOTAL(109,tbl_Fechas_Refrescado[COSTO BUFFER])</f>
        <v>0</v>
      </c>
      <c r="P3" s="23">
        <f>SUBTOTAL(109,tbl_Fechas_Refrescado[COSTO FISICO])</f>
        <v>0</v>
      </c>
      <c r="Q3" s="23">
        <f>SUBTOTAL(109,tbl_Fechas_Refrescado[COSTO TRANSITO])</f>
        <v>0</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C:\Users\BUFFER\Documents\RAM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2"/>
  <sheetViews>
    <sheetView showGridLines="0" workbookViewId="0"/>
  </sheetViews>
  <sheetFormatPr baseColWidth="10" defaultColWidth="11.42578125" defaultRowHeight="15" x14ac:dyDescent="0.25"/>
  <cols>
    <col min="1" max="1" width="18.140625" bestFit="1" customWidth="1"/>
  </cols>
  <sheetData>
    <row r="1" spans="1:1" x14ac:dyDescent="0.25">
      <c r="A1" t="s">
        <v>31</v>
      </c>
    </row>
    <row r="2" spans="1:1" x14ac:dyDescent="0.25">
      <c r="A2" t="s">
        <v>238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26</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30</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30</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38"/>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27</v>
      </c>
      <c r="D1" t="s">
        <v>28</v>
      </c>
    </row>
    <row r="2" spans="1:4" x14ac:dyDescent="0.25">
      <c r="A2" t="s">
        <v>238</v>
      </c>
      <c r="B2" t="s">
        <v>239</v>
      </c>
      <c r="C2" t="s">
        <v>240</v>
      </c>
      <c r="D2">
        <v>1</v>
      </c>
    </row>
    <row r="3" spans="1:4" x14ac:dyDescent="0.25">
      <c r="A3" t="s">
        <v>238</v>
      </c>
      <c r="B3" t="s">
        <v>239</v>
      </c>
      <c r="C3" t="s">
        <v>241</v>
      </c>
      <c r="D3">
        <v>2</v>
      </c>
    </row>
    <row r="4" spans="1:4" x14ac:dyDescent="0.25">
      <c r="A4" t="s">
        <v>238</v>
      </c>
      <c r="B4" t="s">
        <v>239</v>
      </c>
      <c r="C4" t="s">
        <v>242</v>
      </c>
      <c r="D4">
        <v>3</v>
      </c>
    </row>
    <row r="5" spans="1:4" x14ac:dyDescent="0.25">
      <c r="A5" t="s">
        <v>238</v>
      </c>
      <c r="B5" t="s">
        <v>239</v>
      </c>
      <c r="C5" t="s">
        <v>243</v>
      </c>
      <c r="D5">
        <v>4</v>
      </c>
    </row>
    <row r="6" spans="1:4" x14ac:dyDescent="0.25">
      <c r="A6" t="s">
        <v>238</v>
      </c>
      <c r="B6" t="s">
        <v>239</v>
      </c>
      <c r="C6" t="s">
        <v>244</v>
      </c>
      <c r="D6">
        <v>5</v>
      </c>
    </row>
    <row r="7" spans="1:4" x14ac:dyDescent="0.25">
      <c r="A7" t="s">
        <v>238</v>
      </c>
      <c r="B7" t="s">
        <v>239</v>
      </c>
      <c r="C7" t="s">
        <v>245</v>
      </c>
      <c r="D7">
        <v>6</v>
      </c>
    </row>
    <row r="8" spans="1:4" x14ac:dyDescent="0.25">
      <c r="A8" t="s">
        <v>238</v>
      </c>
      <c r="B8" t="s">
        <v>239</v>
      </c>
      <c r="C8" t="s">
        <v>246</v>
      </c>
      <c r="D8">
        <v>7</v>
      </c>
    </row>
    <row r="9" spans="1:4" x14ac:dyDescent="0.25">
      <c r="A9" t="s">
        <v>238</v>
      </c>
      <c r="B9" t="s">
        <v>239</v>
      </c>
      <c r="C9" t="s">
        <v>247</v>
      </c>
      <c r="D9">
        <v>8</v>
      </c>
    </row>
    <row r="10" spans="1:4" x14ac:dyDescent="0.25">
      <c r="A10" t="s">
        <v>238</v>
      </c>
      <c r="B10" t="s">
        <v>239</v>
      </c>
      <c r="C10" t="s">
        <v>248</v>
      </c>
      <c r="D10">
        <v>9</v>
      </c>
    </row>
    <row r="11" spans="1:4" x14ac:dyDescent="0.25">
      <c r="A11" t="s">
        <v>238</v>
      </c>
      <c r="B11" t="s">
        <v>239</v>
      </c>
      <c r="C11" t="s">
        <v>249</v>
      </c>
      <c r="D11">
        <v>10</v>
      </c>
    </row>
    <row r="12" spans="1:4" x14ac:dyDescent="0.25">
      <c r="A12" t="s">
        <v>238</v>
      </c>
      <c r="B12" t="s">
        <v>239</v>
      </c>
      <c r="C12" t="s">
        <v>250</v>
      </c>
      <c r="D12">
        <v>11</v>
      </c>
    </row>
    <row r="13" spans="1:4" x14ac:dyDescent="0.25">
      <c r="A13" t="s">
        <v>238</v>
      </c>
      <c r="B13" t="s">
        <v>239</v>
      </c>
      <c r="C13" t="s">
        <v>251</v>
      </c>
      <c r="D13">
        <v>12</v>
      </c>
    </row>
    <row r="14" spans="1:4" x14ac:dyDescent="0.25">
      <c r="A14" t="s">
        <v>238</v>
      </c>
      <c r="B14" t="s">
        <v>239</v>
      </c>
      <c r="C14" t="s">
        <v>252</v>
      </c>
      <c r="D14">
        <v>13</v>
      </c>
    </row>
    <row r="15" spans="1:4" x14ac:dyDescent="0.25">
      <c r="A15" t="s">
        <v>238</v>
      </c>
      <c r="B15" t="s">
        <v>239</v>
      </c>
      <c r="C15" t="s">
        <v>253</v>
      </c>
      <c r="D15">
        <v>14</v>
      </c>
    </row>
    <row r="16" spans="1:4" x14ac:dyDescent="0.25">
      <c r="A16" t="s">
        <v>238</v>
      </c>
      <c r="B16" t="s">
        <v>239</v>
      </c>
      <c r="C16" t="s">
        <v>254</v>
      </c>
      <c r="D16">
        <v>15</v>
      </c>
    </row>
    <row r="17" spans="1:4" x14ac:dyDescent="0.25">
      <c r="A17" t="s">
        <v>238</v>
      </c>
      <c r="B17" t="s">
        <v>239</v>
      </c>
      <c r="C17" t="s">
        <v>255</v>
      </c>
      <c r="D17">
        <v>16</v>
      </c>
    </row>
    <row r="18" spans="1:4" x14ac:dyDescent="0.25">
      <c r="A18" t="s">
        <v>238</v>
      </c>
      <c r="B18" t="s">
        <v>239</v>
      </c>
      <c r="C18" t="s">
        <v>256</v>
      </c>
      <c r="D18">
        <v>17</v>
      </c>
    </row>
    <row r="19" spans="1:4" x14ac:dyDescent="0.25">
      <c r="A19" t="s">
        <v>238</v>
      </c>
      <c r="B19" t="s">
        <v>239</v>
      </c>
      <c r="C19" t="s">
        <v>257</v>
      </c>
      <c r="D19">
        <v>18</v>
      </c>
    </row>
    <row r="20" spans="1:4" x14ac:dyDescent="0.25">
      <c r="A20" t="s">
        <v>238</v>
      </c>
      <c r="B20" t="s">
        <v>239</v>
      </c>
      <c r="C20" t="s">
        <v>258</v>
      </c>
      <c r="D20">
        <v>19</v>
      </c>
    </row>
    <row r="21" spans="1:4" x14ac:dyDescent="0.25">
      <c r="A21" t="s">
        <v>238</v>
      </c>
      <c r="B21" t="s">
        <v>239</v>
      </c>
      <c r="C21" t="s">
        <v>259</v>
      </c>
      <c r="D21">
        <v>20</v>
      </c>
    </row>
    <row r="22" spans="1:4" x14ac:dyDescent="0.25">
      <c r="A22" t="s">
        <v>238</v>
      </c>
      <c r="B22" t="s">
        <v>239</v>
      </c>
      <c r="C22" t="s">
        <v>260</v>
      </c>
      <c r="D22">
        <v>21</v>
      </c>
    </row>
    <row r="23" spans="1:4" x14ac:dyDescent="0.25">
      <c r="A23" t="s">
        <v>238</v>
      </c>
      <c r="B23" t="s">
        <v>239</v>
      </c>
      <c r="C23" t="s">
        <v>261</v>
      </c>
      <c r="D23">
        <v>22</v>
      </c>
    </row>
    <row r="24" spans="1:4" x14ac:dyDescent="0.25">
      <c r="A24" t="s">
        <v>238</v>
      </c>
      <c r="B24" t="s">
        <v>239</v>
      </c>
      <c r="C24" t="s">
        <v>262</v>
      </c>
      <c r="D24">
        <v>23</v>
      </c>
    </row>
    <row r="25" spans="1:4" x14ac:dyDescent="0.25">
      <c r="A25" t="s">
        <v>238</v>
      </c>
      <c r="B25" t="s">
        <v>239</v>
      </c>
      <c r="C25" t="s">
        <v>263</v>
      </c>
      <c r="D25">
        <v>24</v>
      </c>
    </row>
    <row r="26" spans="1:4" x14ac:dyDescent="0.25">
      <c r="A26" t="s">
        <v>238</v>
      </c>
      <c r="B26" t="s">
        <v>239</v>
      </c>
      <c r="C26" t="s">
        <v>264</v>
      </c>
      <c r="D26">
        <v>25</v>
      </c>
    </row>
    <row r="27" spans="1:4" x14ac:dyDescent="0.25">
      <c r="A27" t="s">
        <v>238</v>
      </c>
      <c r="B27" t="s">
        <v>239</v>
      </c>
      <c r="C27" t="s">
        <v>265</v>
      </c>
      <c r="D27">
        <v>29</v>
      </c>
    </row>
    <row r="28" spans="1:4" x14ac:dyDescent="0.25">
      <c r="A28" t="s">
        <v>238</v>
      </c>
      <c r="B28" t="s">
        <v>239</v>
      </c>
      <c r="C28" t="s">
        <v>266</v>
      </c>
      <c r="D28">
        <v>30</v>
      </c>
    </row>
    <row r="29" spans="1:4" x14ac:dyDescent="0.25">
      <c r="A29" t="s">
        <v>238</v>
      </c>
      <c r="B29" t="s">
        <v>239</v>
      </c>
      <c r="C29" t="s">
        <v>267</v>
      </c>
      <c r="D29">
        <v>31</v>
      </c>
    </row>
    <row r="30" spans="1:4" x14ac:dyDescent="0.25">
      <c r="A30" t="s">
        <v>238</v>
      </c>
      <c r="B30" t="s">
        <v>239</v>
      </c>
      <c r="C30" t="s">
        <v>268</v>
      </c>
      <c r="D30">
        <v>32</v>
      </c>
    </row>
    <row r="31" spans="1:4" x14ac:dyDescent="0.25">
      <c r="A31" t="s">
        <v>238</v>
      </c>
      <c r="B31" t="s">
        <v>239</v>
      </c>
      <c r="C31" t="s">
        <v>269</v>
      </c>
      <c r="D31">
        <v>33</v>
      </c>
    </row>
    <row r="32" spans="1:4" x14ac:dyDescent="0.25">
      <c r="A32" t="s">
        <v>238</v>
      </c>
      <c r="B32" t="s">
        <v>239</v>
      </c>
      <c r="C32" t="s">
        <v>270</v>
      </c>
      <c r="D32">
        <v>34</v>
      </c>
    </row>
    <row r="33" spans="1:4" x14ac:dyDescent="0.25">
      <c r="A33" t="s">
        <v>238</v>
      </c>
      <c r="B33" t="s">
        <v>239</v>
      </c>
      <c r="C33" t="s">
        <v>271</v>
      </c>
      <c r="D33">
        <v>35</v>
      </c>
    </row>
    <row r="34" spans="1:4" x14ac:dyDescent="0.25">
      <c r="A34" t="s">
        <v>238</v>
      </c>
      <c r="B34" t="s">
        <v>239</v>
      </c>
      <c r="C34" t="s">
        <v>272</v>
      </c>
      <c r="D34">
        <v>36</v>
      </c>
    </row>
    <row r="35" spans="1:4" x14ac:dyDescent="0.25">
      <c r="A35" t="s">
        <v>238</v>
      </c>
      <c r="B35" t="s">
        <v>239</v>
      </c>
      <c r="C35" t="s">
        <v>273</v>
      </c>
      <c r="D35">
        <v>37</v>
      </c>
    </row>
    <row r="36" spans="1:4" x14ac:dyDescent="0.25">
      <c r="A36" t="s">
        <v>238</v>
      </c>
      <c r="B36" t="s">
        <v>239</v>
      </c>
      <c r="C36" t="s">
        <v>274</v>
      </c>
      <c r="D36">
        <v>38</v>
      </c>
    </row>
    <row r="37" spans="1:4" x14ac:dyDescent="0.25">
      <c r="A37" t="s">
        <v>238</v>
      </c>
      <c r="B37" t="s">
        <v>239</v>
      </c>
      <c r="C37" t="s">
        <v>275</v>
      </c>
      <c r="D37">
        <v>100</v>
      </c>
    </row>
    <row r="38" spans="1:4" x14ac:dyDescent="0.25">
      <c r="A38" t="s">
        <v>238</v>
      </c>
      <c r="B38" t="s">
        <v>239</v>
      </c>
      <c r="C38" t="s">
        <v>276</v>
      </c>
      <c r="D38">
        <v>101</v>
      </c>
    </row>
  </sheetData>
  <conditionalFormatting sqref="A2:D38">
    <cfRule type="expression" dxfId="1" priority="2">
      <formula>ISBLANK(A2)</formula>
    </cfRule>
  </conditionalFormatting>
  <conditionalFormatting sqref="A2:A38">
    <cfRule type="expression" dxfId="0" priority="7639">
      <formula>SUMPRODUCT(--($A$2:$A$38=A2),--($B$2:$B$38=B2),--($D$2:$D$38=D2))&gt;1</formula>
    </cfRule>
  </conditionalFormatting>
  <dataValidations count="1">
    <dataValidation type="list" allowBlank="1" showInputMessage="1" showErrorMessage="1" sqref="A2:A38">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29</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61</v>
      </c>
    </row>
    <row r="2" spans="1:4" x14ac:dyDescent="0.25">
      <c r="A2" s="6" t="s">
        <v>58</v>
      </c>
      <c r="B2" s="6" t="s">
        <v>12</v>
      </c>
      <c r="C2" s="6" t="s">
        <v>11</v>
      </c>
      <c r="D2" s="6" t="s">
        <v>49</v>
      </c>
    </row>
    <row r="3" spans="1:4" x14ac:dyDescent="0.25">
      <c r="B3" s="6"/>
      <c r="C3" s="6"/>
      <c r="D3" s="19"/>
    </row>
    <row r="4" spans="1:4" x14ac:dyDescent="0.25">
      <c r="A4" s="28" t="s">
        <v>76</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34</v>
      </c>
    </row>
    <row r="2" spans="1:14" x14ac:dyDescent="0.25">
      <c r="A2" t="s">
        <v>55</v>
      </c>
      <c r="B2" t="s">
        <v>56</v>
      </c>
      <c r="C2" t="s">
        <v>57</v>
      </c>
      <c r="D2" t="s">
        <v>25</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33</v>
      </c>
      <c r="P1" t="s">
        <v>156</v>
      </c>
      <c r="R1" t="s">
        <v>238</v>
      </c>
      <c r="T1" t="s">
        <v>20</v>
      </c>
      <c r="U1" t="b">
        <v>1</v>
      </c>
    </row>
    <row r="2" spans="1:21" x14ac:dyDescent="0.25">
      <c r="P2" t="s">
        <v>282</v>
      </c>
      <c r="T2" t="s">
        <v>196</v>
      </c>
      <c r="U2" t="b">
        <v>1</v>
      </c>
    </row>
    <row r="3" spans="1:21" x14ac:dyDescent="0.25">
      <c r="T3" t="s">
        <v>197</v>
      </c>
      <c r="U3" t="b">
        <v>1</v>
      </c>
    </row>
    <row r="4" spans="1:21" x14ac:dyDescent="0.25">
      <c r="T4" t="s">
        <v>198</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32</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108</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40</v>
      </c>
      <c r="B1" s="17">
        <v>43390.563611111109</v>
      </c>
      <c r="E1" t="s">
        <v>194</v>
      </c>
      <c r="F1" t="s">
        <v>195</v>
      </c>
    </row>
    <row r="2" spans="1:6" x14ac:dyDescent="0.25">
      <c r="A2" t="s">
        <v>41</v>
      </c>
      <c r="B2" s="17">
        <v>43390.568425925929</v>
      </c>
      <c r="E2" t="s">
        <v>5</v>
      </c>
      <c r="F2" s="24">
        <v>43374</v>
      </c>
    </row>
    <row r="3" spans="1:6" x14ac:dyDescent="0.25">
      <c r="E3" t="s">
        <v>285</v>
      </c>
      <c r="F3" s="24">
        <v>43374</v>
      </c>
    </row>
    <row r="4" spans="1:6" x14ac:dyDescent="0.25">
      <c r="A4" t="s">
        <v>42</v>
      </c>
      <c r="B4" s="18">
        <f>IF((FINREFRESCADO-INICIOREFRESCADO)&gt;0,FINREFRESCADO-INICIOREFRESCADO,"")</f>
        <v>4.8148148198379204E-3</v>
      </c>
      <c r="E4" t="s">
        <v>286</v>
      </c>
      <c r="F4" s="24">
        <v>43374</v>
      </c>
    </row>
    <row r="5" spans="1:6" x14ac:dyDescent="0.25">
      <c r="E5" t="s">
        <v>287</v>
      </c>
      <c r="F5" s="24">
        <v>43374</v>
      </c>
    </row>
    <row r="6" spans="1:6" x14ac:dyDescent="0.25">
      <c r="A6" t="s">
        <v>89</v>
      </c>
      <c r="B6" t="s">
        <v>222</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44</v>
      </c>
      <c r="B1" t="s">
        <v>45</v>
      </c>
      <c r="C1" t="s">
        <v>46</v>
      </c>
    </row>
    <row r="2" spans="1:3" x14ac:dyDescent="0.25">
      <c r="A2" t="s">
        <v>50</v>
      </c>
      <c r="B2" t="s">
        <v>54</v>
      </c>
      <c r="C2" t="str">
        <f>IF(RIGHT(Tabla_Parametros[par_valor],1)="\",LEFT(Tabla_Parametros[par_valor],LEN(Tabla_Parametros[par_valor])-1),Tabla_Parametros[par_valor])</f>
        <v>O:</v>
      </c>
    </row>
    <row r="3" spans="1:3" x14ac:dyDescent="0.25">
      <c r="A3" t="s">
        <v>51</v>
      </c>
      <c r="B3" t="s">
        <v>54</v>
      </c>
      <c r="C3" t="str">
        <f>IF(RIGHT(Tabla_Parametros[par_valor],1)="\",LEFT(Tabla_Parametros[par_valor],LEN(Tabla_Parametros[par_valor])-1),Tabla_Parametros[par_valor])</f>
        <v>O:</v>
      </c>
    </row>
    <row r="4" spans="1:3" x14ac:dyDescent="0.25">
      <c r="A4" t="s">
        <v>52</v>
      </c>
      <c r="B4" t="s">
        <v>54</v>
      </c>
      <c r="C4" t="str">
        <f>IF(RIGHT(Tabla_Parametros[par_valor],1)="\",LEFT(Tabla_Parametros[par_valor],LEN(Tabla_Parametros[par_valor])-1),Tabla_Parametros[par_valor])</f>
        <v>O:</v>
      </c>
    </row>
    <row r="5" spans="1:3" x14ac:dyDescent="0.25">
      <c r="A5" t="s">
        <v>73</v>
      </c>
      <c r="B5" t="s">
        <v>74</v>
      </c>
      <c r="C5" t="str">
        <f>IF(RIGHT(Tabla_Parametros[par_valor],1)="\",LEFT(Tabla_Parametros[par_valor],LEN(Tabla_Parametros[par_valor])-1),Tabla_Parametros[par_valor])</f>
        <v>0</v>
      </c>
    </row>
    <row r="6" spans="1:3" x14ac:dyDescent="0.25">
      <c r="A6" t="s">
        <v>75</v>
      </c>
      <c r="B6" t="s">
        <v>277</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5"/>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282</v>
      </c>
    </row>
    <row r="2" spans="1:1" x14ac:dyDescent="0.25">
      <c r="A2" t="s">
        <v>293</v>
      </c>
    </row>
    <row r="3" spans="1:1" x14ac:dyDescent="0.25">
      <c r="A3" t="s">
        <v>294</v>
      </c>
    </row>
    <row r="4" spans="1:1" x14ac:dyDescent="0.25">
      <c r="A4" t="s">
        <v>291</v>
      </c>
    </row>
    <row r="5" spans="1:1" x14ac:dyDescent="0.25">
      <c r="A5" t="s">
        <v>292</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C4" sqref="C4"/>
    </sheetView>
  </sheetViews>
  <sheetFormatPr baseColWidth="10" defaultRowHeight="15" x14ac:dyDescent="0.25"/>
  <sheetData>
    <row r="1" spans="1:1" x14ac:dyDescent="0.25">
      <c r="A1" t="s">
        <v>155</v>
      </c>
    </row>
    <row r="3" spans="1:1" x14ac:dyDescent="0.25">
      <c r="A3" t="s">
        <v>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238</v>
      </c>
      <c r="B2" t="s">
        <v>282</v>
      </c>
      <c r="C2" t="s">
        <v>283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8F66C93-9874-449F-B96C-17284B9FD6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37</vt:i4>
      </vt:variant>
    </vt:vector>
  </HeadingPairs>
  <TitlesOfParts>
    <vt:vector size="38"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HojasCB_tipo_us</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BUFFER</cp:lastModifiedBy>
  <cp:lastPrinted>2010-03-18T04:13:57Z</cp:lastPrinted>
  <dcterms:created xsi:type="dcterms:W3CDTF">2010-02-10T19:54:10Z</dcterms:created>
  <dcterms:modified xsi:type="dcterms:W3CDTF">2018-11-07T20:55:36Z</dcterms:modified>
</cp:coreProperties>
</file>