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U3" i="36"/>
  <c r="U4" i="36"/>
  <c r="U5" i="36"/>
  <c r="U6" i="36"/>
  <c r="U7" i="36"/>
  <c r="T14" i="1"/>
  <c r="C14" i="1" s="1"/>
  <c r="T15" i="1"/>
  <c r="C15" i="1" s="1"/>
  <c r="C2" i="24"/>
  <c r="C3" i="24"/>
  <c r="C4" i="24"/>
  <c r="C5" i="24"/>
  <c r="C6" i="24"/>
  <c r="R15" i="1" l="1"/>
  <c r="P15" i="1"/>
  <c r="N15" i="1"/>
  <c r="L15" i="1"/>
  <c r="J15" i="1"/>
  <c r="H15" i="1"/>
  <c r="F15" i="1"/>
  <c r="D15" i="1"/>
  <c r="B15" i="1"/>
  <c r="R14" i="1"/>
  <c r="P14" i="1"/>
  <c r="L14" i="1"/>
  <c r="H14" i="1"/>
  <c r="S15" i="1"/>
  <c r="O15" i="1"/>
  <c r="M15" i="1"/>
  <c r="K15" i="1"/>
  <c r="I15" i="1"/>
  <c r="G15" i="1"/>
  <c r="E15" i="1"/>
  <c r="N14" i="1"/>
  <c r="J14" i="1"/>
  <c r="F14" i="1"/>
  <c r="D14" i="1"/>
  <c r="B14" i="1"/>
  <c r="S14" i="1"/>
  <c r="O14" i="1"/>
  <c r="M14" i="1"/>
  <c r="K14" i="1"/>
  <c r="I14" i="1"/>
  <c r="G14" i="1"/>
  <c r="E14" i="1"/>
  <c r="Q14" i="1" l="1"/>
  <c r="Q15" i="1"/>
  <c r="C4" i="30"/>
  <c r="G4" i="30"/>
  <c r="H4" i="30"/>
  <c r="K4" i="30"/>
  <c r="L4" i="30"/>
  <c r="M4" i="30"/>
  <c r="N4" i="30"/>
  <c r="O4" i="30"/>
  <c r="P4" i="30"/>
  <c r="Q4" i="30"/>
  <c r="I2" i="30"/>
  <c r="I3" i="30"/>
  <c r="I4" i="30" s="1"/>
  <c r="A59" i="34" l="1"/>
  <c r="A58" i="34"/>
  <c r="A57" i="34"/>
  <c r="A56" i="34"/>
  <c r="A55" i="34"/>
  <c r="A54" i="34"/>
  <c r="A53" i="34"/>
  <c r="A52" i="34"/>
  <c r="A51" i="34"/>
  <c r="A50" i="34"/>
  <c r="A49" i="34"/>
  <c r="A48" i="34"/>
  <c r="A47" i="34"/>
  <c r="A46" i="34"/>
  <c r="A45" i="34"/>
  <c r="A44" i="34"/>
  <c r="A43" i="34"/>
  <c r="P16" i="1" l="1"/>
  <c r="I8" i="1" l="1"/>
  <c r="I6" i="1"/>
  <c r="I7" i="1"/>
  <c r="I5" i="1"/>
  <c r="O16" i="1" l="1"/>
  <c r="B16" i="1"/>
  <c r="I3" i="1"/>
  <c r="A16" i="1" l="1"/>
  <c r="J16" i="1" l="1"/>
  <c r="I16" i="1"/>
  <c r="K16" i="1"/>
  <c r="M16" i="1"/>
  <c r="D16" i="1"/>
  <c r="L16" i="1"/>
  <c r="C16" i="1"/>
  <c r="Q16" i="1" l="1"/>
  <c r="H16" i="1"/>
  <c r="G16" i="1"/>
  <c r="F16" i="1"/>
  <c r="E16"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<sst xmlns="http://schemas.openxmlformats.org/spreadsheetml/2006/main" count="541" uniqueCount="297">
  <si>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</si>
  <si>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</si>
  <si>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</si>
  <si>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</si>
  <si>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</si>
  <si>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</si>
  <si>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</si>
  <si>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</si>
  <si>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</si>
  <si>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</si>
  <si>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</si>
  <si>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</si>
  <si>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</si>
  <si>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</si>
  <si>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</si>
  <si>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</si>
  <si>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</si>
  <si>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</si>
  <si>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</si>
  <si>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</si>
  <si>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</si>
  <si>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</si>
  <si>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</si>
  <si>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</si>
  <si>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</si>
  <si>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SUKAMPO</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</si>
  <si>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</si>
  <si>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</si>
  <si>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</si>
  <si>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</si>
  <si>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</si>
  <si>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</si>
  <si>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</si>
  <si>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</si>
  <si>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</si>
  <si>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</si>
  <si>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</si>
  <si>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</si>
  <si>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</si>
  <si>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</si>
  <si>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</si>
  <si>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</si>
  <si>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</si>
  <si>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</si>
  <si>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</si>
  <si>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</si>
  <si>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</si>
  <si>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</si>
  <si>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</si>
  <si>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</si>
  <si>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</si>
  <si>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</si>
  <si>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</si>
  <si>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</si>
  <si>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</si>
  <si>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</si>
  <si>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</si>
  <si>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</si>
  <si>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</si>
  <si>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</si>
  <si>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</si>
  <si>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</si>
  <si>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</si>
  <si>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</si>
  <si>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</si>
  <si>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</si>
  <si>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</si>
  <si>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</si>
  <si>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</si>
  <si>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</si>
  <si>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</si>
  <si>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</si>
  <si>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</si>
  <si>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</si>
  <si>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</si>
  <si>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</si>
  <si>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</si>
  <si>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</si>
  <si>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</si>
  <si>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</si>
  <si>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</si>
  <si>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</si>
  <si>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</si>
  <si>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</si>
  <si>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</si>
  <si>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</si>
  <si>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</si>
  <si>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</si>
  <si>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</si>
  <si>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</si>
  <si>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</si>
  <si>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</si>
  <si>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</si>
  <si>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</si>
  <si>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</si>
  <si>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</si>
  <si>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</si>
  <si>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</si>
  <si>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</si>
  <si>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</si>
  <si>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</si>
  <si>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</si>
  <si>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</si>
  <si>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</si>
  <si>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</si>
  <si>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</si>
  <si>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</si>
  <si>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</si>
  <si>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</si>
  <si>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</si>
  <si>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</si>
  <si>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</si>
  <si>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</si>
  <si>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</si>
  <si>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</si>
  <si>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</si>
  <si>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</si>
  <si>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</si>
  <si>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</si>
  <si>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</si>
  <si>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</si>
  <si>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</si>
  <si>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</si>
  <si>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</si>
  <si>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</si>
  <si>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</si>
  <si>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</si>
  <si>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</si>
  <si>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</si>
  <si>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</si>
  <si>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</si>
  <si>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</si>
  <si>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</si>
  <si>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</si>
  <si>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</si>
  <si>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</si>
  <si>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</si>
  <si>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</si>
  <si>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</si>
  <si>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</si>
  <si>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</si>
  <si>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</si>
  <si>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</si>
  <si>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</si>
  <si>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</si>
  <si>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</si>
  <si>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</si>
  <si>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</si>
  <si>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</si>
  <si>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</si>
  <si>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</si>
  <si>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</si>
  <si>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</si>
  <si>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</si>
  <si>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</si>
  <si>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</si>
  <si>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</si>
  <si>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</si>
  <si>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</si>
  <si>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</si>
  <si>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</si>
  <si>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</si>
  <si>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</si>
  <si>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</si>
  <si>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</si>
  <si>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</si>
  <si>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</si>
  <si>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</si>
  <si>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</si>
  <si>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</si>
  <si>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</si>
  <si>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</si>
  <si>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</si>
  <si>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</si>
  <si>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</si>
  <si>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</si>
  <si>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</si>
  <si>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</si>
  <si>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</si>
  <si>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</si>
  <si>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</si>
  <si>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</si>
  <si>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</si>
  <si>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</si>
  <si>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</si>
  <si>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</si>
  <si>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</si>
  <si>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</si>
  <si>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</si>
  <si>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</si>
  <si>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</si>
  <si>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</si>
  <si>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</si>
  <si>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</si>
  <si>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</si>
  <si>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</si>
  <si>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</si>
  <si>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</si>
  <si>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</si>
  <si>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</si>
  <si>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</si>
  <si>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</si>
  <si>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</si>
  <si>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</si>
  <si>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</si>
  <si>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</si>
  <si>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</si>
  <si>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</si>
  <si>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</si>
  <si>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</si>
  <si>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</si>
  <si>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</si>
  <si>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</si>
  <si>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</si>
  <si>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</si>
  <si>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</si>
  <si>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</si>
  <si>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</si>
  <si>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</si>
  <si>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</si>
  <si>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</si>
  <si>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</si>
  <si>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</si>
  <si>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</si>
  <si>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</si>
  <si>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</si>
  <si>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</si>
  <si>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</si>
  <si>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</si>
  <si>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</si>
  <si>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</si>
  <si>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</si>
  <si>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</si>
  <si>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</si>
  <si>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</si>
  <si>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</si>
  <si>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</si>
  <si>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</si>
  <si>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</si>
  <si>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</si>
  <si>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</si>
  <si>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</si>
  <si>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</si>
  <si>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</si>
  <si>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</si>
  <si>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</si>
  <si>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</si>
  <si>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</si>
  <si>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</si>
  <si>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</si>
  <si>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</si>
  <si>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</si>
  <si>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</si>
  <si>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</si>
  <si>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</si>
  <si>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</si>
  <si>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</si>
  <si>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</si>
  <si>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</si>
  <si>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</si>
  <si>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</si>
  <si>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</si>
  <si>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</si>
  <si>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</si>
  <si>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</si>
  <si>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</si>
  <si>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</si>
  <si>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</si>
  <si>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</si>
  <si>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</si>
  <si>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</si>
  <si>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</si>
  <si>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</si>
  <si>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</si>
  <si>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</si>
  <si>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</si>
  <si>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</si>
  <si>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</si>
  <si>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</si>
  <si>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</si>
  <si>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</si>
  <si>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</si>
  <si>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</si>
  <si>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PRODUCTO</t>
  </si>
  <si>
    <t>INVENTARIO</t>
  </si>
  <si>
    <t>CONSUMO</t>
  </si>
  <si>
    <t>Milagro Sukampo.xlsm</t>
  </si>
  <si>
    <t>alertas</t>
  </si>
  <si>
    <t>O:\Milagro Sukampo.xlsm</t>
  </si>
  <si>
    <t>5 Sugerencia GDB</t>
  </si>
  <si>
    <t>3 Sin reposiciones</t>
  </si>
  <si>
    <t>Completo</t>
  </si>
  <si>
    <t>completo</t>
  </si>
  <si>
    <t>23 Comportamiento</t>
  </si>
  <si>
    <t>1 Buffer no inicializado</t>
  </si>
  <si>
    <t>2 Buffers vacíos</t>
  </si>
  <si>
    <t>2 Buffers por efectivizar</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</si>
</sst>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 numFmtId="174" formatCode="mmmm\-yy"/>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4" fontId="11" fillId="5" borderId="0" xfId="0" applyNumberFormat="1" applyFont="1" applyFill="1" applyBorder="1" applyAlignment="1">
      <alignment horizontal="left"/>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4.emf"/><Relationship Id="rId6"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v3.9.0</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422"/>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186"/>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6"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7" totalsRowShown="0">
  <autoFilter ref="A1:U7"/>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59" totalsRowShown="0">
  <autoFilter ref="A1:C59"/>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4" totalsRowCount="1" headerRowDxfId="106">
  <autoFilter ref="B1:Q3"/>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A7" totalsRowShown="0">
  <autoFilter ref="A1:A7"/>
  <tableColumns count="1">
    <tableColumn id="1" name="Maquinas ECHO - SHINDAIWA.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6"/>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E8" sqref="E8"/>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Los cambios estructurales de RAMCAS se hacen en RAMCAS Web.</v>
      </c>
      <c r="C1" s="31"/>
      <c r="D1" s="31"/>
      <c r="E1" s="31"/>
      <c r="F1" s="31"/>
      <c r="G1" s="32"/>
      <c r="H1" s="32"/>
      <c r="I1" s="32"/>
      <c r="J1" s="86">
        <v>43252</v>
      </c>
      <c r="CQ1" s="74" t="s">
        <v>37</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36</v>
      </c>
      <c r="H3" s="77"/>
      <c r="I3" s="78" t="str">
        <f>IF(COUNTIF(tbl_HojasCB[REFRESCADA],"1 - 1")=COUNTA(tbl_HojasCB[HOJAS]),"Completo","Incompleto")</f>
        <v>Completo</v>
      </c>
      <c r="J3" s="71"/>
      <c r="K3" s="71"/>
      <c r="L3" s="76"/>
      <c r="M3" s="76"/>
      <c r="N3" s="76"/>
      <c r="O3" s="76"/>
      <c r="P3" s="76"/>
      <c r="Q3" s="76"/>
      <c r="R3" s="76"/>
      <c r="S3" s="76"/>
      <c r="T3" s="76"/>
    </row>
    <row r="4" spans="1:97" ht="15" customHeight="1" x14ac:dyDescent="0.25">
      <c r="A4" s="32"/>
      <c r="C4" s="34"/>
      <c r="D4" s="34"/>
      <c r="E4" s="73"/>
      <c r="F4" s="73"/>
      <c r="G4" s="74" t="s">
        <v>254</v>
      </c>
      <c r="H4" s="79"/>
      <c r="I4" s="84">
        <f>DURACIONREFRESCADO</f>
        <v>2.3148148102336563E-3</v>
      </c>
      <c r="J4" s="71"/>
      <c r="N4" s="76"/>
      <c r="O4" s="80"/>
      <c r="P4" s="76"/>
      <c r="Q4" s="76"/>
      <c r="R4" s="76"/>
      <c r="S4" s="76"/>
      <c r="T4" s="76"/>
    </row>
    <row r="5" spans="1:97" ht="15" customHeight="1" x14ac:dyDescent="0.35">
      <c r="A5" s="35"/>
      <c r="B5" s="36"/>
      <c r="E5" s="75"/>
      <c r="F5" s="75"/>
      <c r="G5" s="81" t="s">
        <v>38</v>
      </c>
      <c r="H5" s="82"/>
      <c r="I5" s="85">
        <f>IFERROR(INDEX(tbl_Refrescado_ERP[FECHA],MATCH("BODEGA",tbl_Refrescado_ERP[TABLA],0)),"SIN DATOS")</f>
        <v>43254</v>
      </c>
      <c r="J5" s="76"/>
      <c r="K5" s="76"/>
      <c r="L5" s="76"/>
      <c r="M5" s="76"/>
      <c r="N5" s="76"/>
      <c r="O5" s="76"/>
      <c r="P5" s="76"/>
      <c r="Q5" s="76"/>
      <c r="R5" s="76"/>
      <c r="S5" s="76"/>
      <c r="T5" s="76"/>
    </row>
    <row r="6" spans="1:97" ht="15" customHeight="1" x14ac:dyDescent="0.3">
      <c r="A6" s="37"/>
      <c r="B6" s="32"/>
      <c r="C6" s="32"/>
      <c r="D6" s="32"/>
      <c r="E6" s="71"/>
      <c r="F6" s="71"/>
      <c r="G6" s="83" t="s">
        <v>40</v>
      </c>
      <c r="H6" s="79"/>
      <c r="I6" s="85">
        <f>IFERROR(INDEX(tbl_Refrescado_ERP[FECHA],MATCH("PRODUCTO",tbl_Refrescado_ERP[TABLA],0)),"SIN DATOS")</f>
        <v>43254</v>
      </c>
      <c r="J6" s="76"/>
      <c r="K6" s="76"/>
      <c r="L6" s="76"/>
      <c r="M6" s="76"/>
      <c r="N6" s="76"/>
      <c r="O6" s="76"/>
      <c r="P6" s="76"/>
      <c r="Q6" s="76"/>
      <c r="R6" s="76"/>
      <c r="S6" s="76"/>
      <c r="T6" s="76"/>
    </row>
    <row r="7" spans="1:97" ht="15" customHeight="1" x14ac:dyDescent="0.25">
      <c r="A7" s="32"/>
      <c r="B7" s="32"/>
      <c r="C7" s="32"/>
      <c r="D7" s="32"/>
      <c r="E7" s="71"/>
      <c r="F7" s="71"/>
      <c r="G7" s="55" t="s">
        <v>39</v>
      </c>
      <c r="H7" s="48"/>
      <c r="I7" s="85">
        <f>IFERROR(INDEX(tbl_Refrescado_ERP[FECHA],MATCH("INVENTARIO",tbl_Refrescado_ERP[TABLA],0)),"SIN DATOS")</f>
        <v>43254</v>
      </c>
      <c r="J7" s="76"/>
      <c r="K7" s="76"/>
      <c r="L7" s="76"/>
      <c r="M7" s="76"/>
      <c r="N7" s="76"/>
      <c r="O7" s="76"/>
      <c r="P7" s="76"/>
      <c r="Q7" s="76"/>
      <c r="R7" s="76"/>
      <c r="S7" s="76"/>
      <c r="T7" s="76"/>
    </row>
    <row r="8" spans="1:97" ht="15" customHeight="1" x14ac:dyDescent="0.25">
      <c r="A8" s="52" t="s">
        <v>59</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48</v>
      </c>
      <c r="H8" s="49"/>
      <c r="I8" s="85">
        <f>IFERROR(INDEX(tbl_Refrescado_ERP[FECHA],MATCH("CONSUMO",tbl_Refrescado_ERP[TABLA],0)),"SIN DATOS")</f>
        <v>43253</v>
      </c>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44</v>
      </c>
      <c r="H9" s="49"/>
      <c r="I9" s="50">
        <v>0.20833333333333334</v>
      </c>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112</v>
      </c>
      <c r="H10" s="48"/>
      <c r="I10" s="51">
        <v>0.16666666666666666</v>
      </c>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49</v>
      </c>
      <c r="H11" s="48"/>
      <c r="I11" s="51">
        <v>0.99305555555555547</v>
      </c>
    </row>
    <row r="12" spans="1:97" ht="12.75" customHeight="1" x14ac:dyDescent="0.25"/>
    <row r="13" spans="1:97" ht="26.25" customHeight="1" x14ac:dyDescent="0.25">
      <c r="A13" s="41" t="s">
        <v>218</v>
      </c>
      <c r="B13" s="41" t="s">
        <v>253</v>
      </c>
      <c r="C13" s="41" t="s">
        <v>69</v>
      </c>
      <c r="D13" s="41" t="s">
        <v>221</v>
      </c>
      <c r="E13" s="41" t="s">
        <v>223</v>
      </c>
      <c r="F13" s="41" t="s">
        <v>225</v>
      </c>
      <c r="G13" s="41" t="s">
        <v>226</v>
      </c>
      <c r="H13" s="42" t="s">
        <v>222</v>
      </c>
      <c r="I13" s="42" t="s">
        <v>251</v>
      </c>
      <c r="J13" s="41" t="s">
        <v>219</v>
      </c>
      <c r="K13" s="41" t="s">
        <v>220</v>
      </c>
      <c r="L13" s="41" t="s">
        <v>224</v>
      </c>
      <c r="M13" s="41" t="s">
        <v>72</v>
      </c>
      <c r="N13" s="41" t="s">
        <v>230</v>
      </c>
      <c r="O13" s="41" t="s">
        <v>228</v>
      </c>
      <c r="P13" s="41" t="s">
        <v>229</v>
      </c>
      <c r="Q13" s="41" t="s">
        <v>62</v>
      </c>
      <c r="R13" s="41" t="s">
        <v>227</v>
      </c>
      <c r="S13" s="41" t="s">
        <v>79</v>
      </c>
      <c r="T13" s="41" t="s">
        <v>252</v>
      </c>
    </row>
    <row r="14" spans="1:97" ht="15" customHeight="1" x14ac:dyDescent="0.25">
      <c r="A14" s="62" t="s">
        <v>213</v>
      </c>
      <c r="B14" s="63">
        <f>IFERROR(INDEX(tbl_hojascb_estado_hoy[alertas],tbl_HojasCB[[#This Row],[Coincidir]]),"")</f>
        <v>6</v>
      </c>
      <c r="C14" s="64">
        <f>IFERROR(INDEX(tbl_hojascb_estado_hoy[costo_buffer],tbl_HojasCB[[#This Row],[Coincidir]]),"")</f>
        <v>876422.42</v>
      </c>
      <c r="D14" s="64">
        <f>IFERROR(INDEX(tbl_hojascb_estado_hoy[costo_fisico],tbl_HojasCB[[#This Row],[Coincidir]]),"")</f>
        <v>185483.42</v>
      </c>
      <c r="E14" s="64">
        <f>IFERROR(INDEX(tbl_hojascb_estado_hoy[costo_transito],tbl_HojasCB[[#This Row],[Coincidir]]),"")</f>
        <v>209520.14</v>
      </c>
      <c r="F14" s="64">
        <f>IFERROR(INDEX(tbl_hojascb_estado_hoy[costo_comprometido],tbl_HojasCB[[#This Row],[Coincidir]]),"")</f>
        <v>0</v>
      </c>
      <c r="G14" s="64">
        <f>IFERROR(INDEX(tbl_hojascb_estado_hoy[costo_backorder],tbl_HojasCB[[#This Row],[Coincidir]]),"")</f>
        <v>1426.24</v>
      </c>
      <c r="H14" s="64">
        <f>IFERROR(INDEX(tbl_hojascb_estado_hoy[costo_proyectado],tbl_HojasCB[[#This Row],[Coincidir]]),"")</f>
        <v>396429.8</v>
      </c>
      <c r="I14" s="64">
        <f>IFERROR(INDEX(tbl_hojascb_estado_hoy[costo_total],tbl_HojasCB[[#This Row],[Coincidir]]),"")</f>
        <v>395003.56</v>
      </c>
      <c r="J14" s="65">
        <f>IFERROR(INDEX(tbl_hojascb_estado_hoy[sku_totales],tbl_HojasCB[[#This Row],[Coincidir]]),"")</f>
        <v>59</v>
      </c>
      <c r="K14" s="65">
        <f>IFERROR(INDEX(tbl_hojascb_estado_hoy[sku_buffer],tbl_HojasCB[[#This Row],[Coincidir]]),"")</f>
        <v>44</v>
      </c>
      <c r="L14" s="65">
        <f>IFERROR(INDEX(tbl_hojascb_estado_hoy[dias_periodo],tbl_HojasCB[[#This Row],[Coincidir]]),"")</f>
        <v>237</v>
      </c>
      <c r="M14" s="65">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43254.867604166669</v>
      </c>
      <c r="P14" s="67">
        <f>IFERROR(INDEX(tbl_hojascb_estado_hoy[fin_refrescado],tbl_HojasCB[[#This Row],[Coincidir]]),"")</f>
        <v>43254.869189814817</v>
      </c>
      <c r="Q14" s="68">
        <f>IFERROR(tbl_HojasCB[[#This Row],[REFRESCADO_FIN]]-tbl_HojasCB[[#This Row],[REFRESCADO_INI]],"")</f>
        <v>1.5856481477385387E-3</v>
      </c>
      <c r="R14" s="67">
        <f>IFERROR(INDEX(tbl_hojascb_estado_hoy[guardado],tbl_HojasCB[[#This Row],[Coincidir]]),"")</f>
        <v>43254.869386574072</v>
      </c>
      <c r="S14" s="69" t="str">
        <f>IF(IFERROR(INDEX(tbl_hojascb_estado_hoy[razon],tbl_HojasCB[[#This Row],[Coincidir]]),"")=0,"",IFERROR(INDEX(tbl_hojascb_estado_hoy[razon],tbl_HojasCB[[#This Row],[Coincidir]]),""))</f>
        <v/>
      </c>
      <c r="T14" s="66">
        <f>MATCH(EMP&amp;tbl_HojasCB[[#This Row],[HOJAS]],tbl_hojascb_estado_hoy[empresa_hoja],0)</f>
        <v>4</v>
      </c>
    </row>
    <row r="15" spans="1:97" ht="15" customHeight="1" x14ac:dyDescent="0.25">
      <c r="A15" s="62" t="s">
        <v>286</v>
      </c>
      <c r="B15" s="63">
        <f>IFERROR(INDEX(tbl_hojascb_estado_hoy[alertas],tbl_HojasCB[[#This Row],[Coincidir]]),"")</f>
        <v>0</v>
      </c>
      <c r="C15" s="64">
        <f>IFERROR(INDEX(tbl_hojascb_estado_hoy[costo_buffer],tbl_HojasCB[[#This Row],[Coincidir]]),"")</f>
        <v>0</v>
      </c>
      <c r="D15" s="64">
        <f>IFERROR(INDEX(tbl_hojascb_estado_hoy[costo_fisico],tbl_HojasCB[[#This Row],[Coincidir]]),"")</f>
        <v>165.25</v>
      </c>
      <c r="E15" s="64">
        <f>IFERROR(INDEX(tbl_hojascb_estado_hoy[costo_transito],tbl_HojasCB[[#This Row],[Coincidir]]),"")</f>
        <v>0</v>
      </c>
      <c r="F15" s="64">
        <f>IFERROR(INDEX(tbl_hojascb_estado_hoy[costo_comprometido],tbl_HojasCB[[#This Row],[Coincidir]]),"")</f>
        <v>0</v>
      </c>
      <c r="G15" s="64">
        <f>IFERROR(INDEX(tbl_hojascb_estado_hoy[costo_backorder],tbl_HojasCB[[#This Row],[Coincidir]]),"")</f>
        <v>0</v>
      </c>
      <c r="H15" s="64">
        <f>IFERROR(INDEX(tbl_hojascb_estado_hoy[costo_proyectado],tbl_HojasCB[[#This Row],[Coincidir]]),"")</f>
        <v>165.25</v>
      </c>
      <c r="I15" s="64">
        <f>IFERROR(INDEX(tbl_hojascb_estado_hoy[costo_total],tbl_HojasCB[[#This Row],[Coincidir]]),"")</f>
        <v>165.25</v>
      </c>
      <c r="J15" s="65">
        <f>IFERROR(INDEX(tbl_hojascb_estado_hoy[sku_totales],tbl_HojasCB[[#This Row],[Coincidir]]),"")</f>
        <v>461</v>
      </c>
      <c r="K15" s="65">
        <f>IFERROR(INDEX(tbl_hojascb_estado_hoy[sku_buffer],tbl_HojasCB[[#This Row],[Coincidir]]),"")</f>
        <v>0</v>
      </c>
      <c r="L15" s="65">
        <f>IFERROR(INDEX(tbl_hojascb_estado_hoy[dias_periodo],tbl_HojasCB[[#This Row],[Coincidir]]),"")</f>
        <v>80</v>
      </c>
      <c r="M15" s="65">
        <f>IFERROR(INDEX(tbl_hojascb_estado_hoy[duplicados],tbl_HojasCB[[#This Row],[Coincidir]]),"")</f>
        <v>0</v>
      </c>
      <c r="N15" s="66" t="str">
        <f>IFERROR(INDEX(tbl_hojascb_estado_hoy[refrescada],tbl_HojasCB[[#This Row],[Coincidir]]),"")&amp;" - "&amp;IFERROR(INDEX(tbl_hojascb_estado_hoy[base_datos],tbl_HojasCB[[#This Row],[Coincidir]]),"")</f>
        <v>1 - 1</v>
      </c>
      <c r="O15" s="67">
        <f>IFERROR(INDEX(tbl_hojascb_estado_hoy[inicio_refrescado],tbl_HojasCB[[#This Row],[Coincidir]]),"")</f>
        <v>43254.864745370367</v>
      </c>
      <c r="P15" s="67">
        <f>IFERROR(INDEX(tbl_hojascb_estado_hoy[fin_refrescado],tbl_HojasCB[[#This Row],[Coincidir]]),"")</f>
        <v>43254.86582175926</v>
      </c>
      <c r="Q15" s="68">
        <f>IFERROR(tbl_HojasCB[[#This Row],[REFRESCADO_FIN]]-tbl_HojasCB[[#This Row],[REFRESCADO_INI]],"")</f>
        <v>1.0763888931251131E-3</v>
      </c>
      <c r="R15" s="67">
        <f>IFERROR(INDEX(tbl_hojascb_estado_hoy[guardado],tbl_HojasCB[[#This Row],[Coincidir]]),"")</f>
        <v>43254.866030092591</v>
      </c>
      <c r="S15" s="69" t="str">
        <f>IF(IFERROR(INDEX(tbl_hojascb_estado_hoy[razon],tbl_HojasCB[[#This Row],[Coincidir]]),"")=0,"",IFERROR(INDEX(tbl_hojascb_estado_hoy[razon],tbl_HojasCB[[#This Row],[Coincidir]]),""))</f>
        <v/>
      </c>
      <c r="T15" s="66">
        <f>MATCH(EMP&amp;tbl_HojasCB[[#This Row],[HOJAS]],tbl_hojascb_estado_hoy[empresa_hoja],0)</f>
        <v>5</v>
      </c>
    </row>
    <row r="16" spans="1:97" ht="15" customHeight="1" x14ac:dyDescent="0.25">
      <c r="A16" s="45" t="str">
        <f>"Total Hojas:  "&amp;SUBTOTAL(103,tbl_HojasCB[HOJAS])</f>
        <v>Total Hojas:  2</v>
      </c>
      <c r="B16" s="45">
        <f>SUBTOTAL(109,tbl_HojasCB[ALERTAS])</f>
        <v>6</v>
      </c>
      <c r="C16" s="43">
        <f>SUBTOTAL(109,tbl_HojasCB[COSTO BUFFER])</f>
        <v>876422.42</v>
      </c>
      <c r="D16" s="43">
        <f>SUBTOTAL(109,tbl_HojasCB[COSTO FÍSICO])</f>
        <v>185648.67</v>
      </c>
      <c r="E16" s="43">
        <f>SUBTOTAL(109,tbl_HojasCB[COSTO TRÁNSITO])</f>
        <v>209520.14</v>
      </c>
      <c r="F16" s="43">
        <f>SUBTOTAL(109,tbl_HojasCB[COSTO COMPROM])</f>
        <v>0</v>
      </c>
      <c r="G16" s="43">
        <f>SUBTOTAL(109,tbl_HojasCB[COSTO BACKORDER])</f>
        <v>1426.24</v>
      </c>
      <c r="H16" s="43">
        <f>SUBTOTAL(109,tbl_HojasCB[COSTO PROYECTADO])</f>
        <v>396595.05</v>
      </c>
      <c r="I16" s="43">
        <f>SUBTOTAL(109,tbl_HojasCB[COSTO TOTAL])</f>
        <v>395168.81</v>
      </c>
      <c r="J16" s="46">
        <f>SUBTOTAL(109,tbl_HojasCB[ÍTEMS TOTALES])</f>
        <v>520</v>
      </c>
      <c r="K16" s="46">
        <f>SUBTOTAL(109,tbl_HojasCB[ÍTEMS CON BUFFER])</f>
        <v>44</v>
      </c>
      <c r="L16" s="46">
        <f>SUBTOTAL(109,tbl_HojasCB[DÍAS PERÍODO])</f>
        <v>317</v>
      </c>
      <c r="M16" s="46">
        <f>SUBTOTAL(109,tbl_HojasCB[DUPLICADOS])</f>
        <v>0</v>
      </c>
      <c r="N16" s="45"/>
      <c r="O16" s="44">
        <f>SUBTOTAL(105,tbl_HojasCB[REFRESCADO_INI])</f>
        <v>43254.864745370367</v>
      </c>
      <c r="P16" s="44">
        <f>SUBTOTAL(104,tbl_HojasCB[REFRESCADO_FIN])</f>
        <v>43254.869189814817</v>
      </c>
      <c r="Q16" s="58">
        <f>SUBTOTAL(109,tbl_HojasCB[DURACIÓN])</f>
        <v>2.6620370408636518E-3</v>
      </c>
      <c r="R16" s="45"/>
      <c r="T16" s="45"/>
    </row>
    <row r="17" ht="15" customHeight="1" x14ac:dyDescent="0.25"/>
    <row r="18" ht="15" customHeight="1" x14ac:dyDescent="0.25"/>
    <row r="19" ht="15" customHeight="1" x14ac:dyDescent="0.25"/>
    <row r="20" ht="15" customHeight="1" x14ac:dyDescent="0.25"/>
    <row r="21" ht="15" customHeight="1" x14ac:dyDescent="0.25"/>
    <row r="126" spans="184:185" x14ac:dyDescent="0.25">
      <c r="GB126" s="47" t="s">
        <v>157</v>
      </c>
      <c r="GC126" s="33" t="s">
        <v>113</v>
      </c>
    </row>
  </sheetData>
  <sheetProtection algorithmName="SHA-512" hashValue="q8chpiMXPZXSC+b+3pQ+pYP8Xjjg926Swb+zbcvr4JYM/Ps1rVYLShSTFgBiv6VIku3PvzEaC68ZWSj3NKNlfQ==" saltValue="EbnmYtfn/mN4DQJoc7VXRQ==" spinCount="100000" sheet="1" objects="1" scenarios="1"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5">
    <cfRule type="expression" dxfId="25" priority="1" stopIfTrue="1">
      <formula>OR(TRUNC($P14)&lt;TODAY(),$N14&lt;&gt;"1 - 1")</formula>
    </cfRule>
    <cfRule type="expression" dxfId="24" priority="7" stopIfTrue="1">
      <formula>$M14&gt;0</formula>
    </cfRule>
  </conditionalFormatting>
  <conditionalFormatting sqref="B14:B15">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5">
    <cfRule type="expression" dxfId="19" priority="3122" stopIfTrue="1">
      <formula>$S14&lt;&gt;""</formula>
    </cfRule>
  </conditionalFormatting>
  <conditionalFormatting sqref="CS1">
    <cfRule type="expression" dxfId="18" priority="5625">
      <formula>$CS1&lt;&gt;TODAY()</formula>
    </cfRule>
  </conditionalFormatting>
  <conditionalFormatting sqref="C14:C15">
    <cfRule type="dataBar" priority="5680">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D15">
    <cfRule type="dataBar" priority="5681">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E15">
    <cfRule type="dataBar" priority="5682">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G15">
    <cfRule type="dataBar" priority="5683">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H15">
    <cfRule type="dataBar" priority="5684">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I15">
    <cfRule type="dataBar" priority="5685">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J15">
    <cfRule type="dataBar" priority="5686">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K15">
    <cfRule type="dataBar" priority="5687">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F15">
    <cfRule type="dataBar" priority="5688">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57" r:id="rId6" name="cmdMantenimiento">
          <controlPr defaultSize="0" autoLine="0" r:id="rId7">
            <anchor>
              <from>
                <xdr:col>4</xdr:col>
                <xdr:colOff>476250</xdr:colOff>
                <xdr:row>2</xdr:row>
                <xdr:rowOff>28575</xdr:rowOff>
              </from>
              <to>
                <xdr:col>5</xdr:col>
                <xdr:colOff>819150</xdr:colOff>
                <xdr:row>3</xdr:row>
                <xdr:rowOff>104775</xdr:rowOff>
              </to>
            </anchor>
          </controlPr>
        </control>
      </mc:Choice>
      <mc:Fallback>
        <control shapeId="1057" r:id="rId6" name="cmdMantenimiento"/>
      </mc:Fallback>
    </mc:AlternateContent>
    <mc:AlternateContent xmlns:mc="http://schemas.openxmlformats.org/markup-compatibility/2006">
      <mc:Choice Requires="x14">
        <control shapeId="1053" r:id="rId8" name="cmdControl">
          <controlPr defaultSize="0" autoLine="0" r:id="rId9">
            <anchor>
              <from>
                <xdr:col>0</xdr:col>
                <xdr:colOff>1314450</xdr:colOff>
                <xdr:row>4</xdr:row>
                <xdr:rowOff>19050</xdr:rowOff>
              </from>
              <to>
                <xdr:col>0</xdr:col>
                <xdr:colOff>2190750</xdr:colOff>
                <xdr:row>6</xdr:row>
                <xdr:rowOff>66675</xdr:rowOff>
              </to>
            </anchor>
          </controlPr>
        </control>
      </mc:Choice>
      <mc:Fallback>
        <control shapeId="1053" r:id="rId8" name="cmdControl"/>
      </mc:Fallback>
    </mc:AlternateContent>
    <mc:AlternateContent xmlns:mc="http://schemas.openxmlformats.org/markup-compatibility/2006">
      <mc:Choice Requires="x14">
        <control shapeId="1034" r:id="rId10" name="cboEmpresa">
          <controlPr defaultSize="0" autoLine="0" r:id="rId11">
            <anchor>
              <from>
                <xdr:col>0</xdr:col>
                <xdr:colOff>0</xdr:colOff>
                <xdr:row>4</xdr:row>
                <xdr:rowOff>38100</xdr:rowOff>
              </from>
              <to>
                <xdr:col>0</xdr:col>
                <xdr:colOff>1266825</xdr:colOff>
                <xdr:row>5</xdr:row>
                <xdr:rowOff>95250</xdr:rowOff>
              </to>
            </anchor>
          </controlPr>
        </control>
      </mc:Choice>
      <mc:Fallback>
        <control shapeId="1034" r:id="rId10" name="cboEmpresa"/>
      </mc:Fallback>
    </mc:AlternateContent>
    <mc:AlternateContent xmlns:mc="http://schemas.openxmlformats.org/markup-compatibility/2006">
      <mc:Choice Requires="x14">
        <control shapeId="1056" r:id="rId12" name="cmdTransferencias">
          <controlPr defaultSize="0" autoLine="0" r:id="rId13">
            <anchor>
              <from>
                <xdr:col>0</xdr:col>
                <xdr:colOff>2219325</xdr:colOff>
                <xdr:row>4</xdr:row>
                <xdr:rowOff>19050</xdr:rowOff>
              </from>
              <to>
                <xdr:col>2</xdr:col>
                <xdr:colOff>276225</xdr:colOff>
                <xdr:row>6</xdr:row>
                <xdr:rowOff>66675</xdr:rowOff>
              </to>
            </anchor>
          </controlPr>
        </control>
      </mc:Choice>
      <mc:Fallback>
        <control shapeId="1056" r:id="rId12" name="cmdTransferencias"/>
      </mc:Fallback>
    </mc:AlternateContent>
    <mc:AlternateContent xmlns:mc="http://schemas.openxmlformats.org/markup-compatibility/2006">
      <mc:Choice Requires="x14">
        <control shapeId="1062" r:id="rId14" name="cmd_Alertas_Actuales">
          <controlPr defaultSize="0" autoLine="0" r:id="rId15">
            <anchor>
              <from>
                <xdr:col>4</xdr:col>
                <xdr:colOff>504825</xdr:colOff>
                <xdr:row>9</xdr:row>
                <xdr:rowOff>9525</xdr:rowOff>
              </from>
              <to>
                <xdr:col>5</xdr:col>
                <xdr:colOff>0</xdr:colOff>
                <xdr:row>9</xdr:row>
                <xdr:rowOff>180975</xdr:rowOff>
              </to>
            </anchor>
          </controlPr>
        </control>
      </mc:Choice>
      <mc:Fallback>
        <control shapeId="1062" r:id="rId14" name="cmd_Alertas_Actuales"/>
      </mc:Fallback>
    </mc:AlternateContent>
    <mc:AlternateContent xmlns:mc="http://schemas.openxmlformats.org/markup-compatibility/2006">
      <mc:Choice Requires="x14">
        <control shapeId="49451" r:id="rId16" name="cmd_Reportaje">
          <controlPr defaultSize="0" autoLine="0" r:id="rId17">
            <anchor>
              <from>
                <xdr:col>2</xdr:col>
                <xdr:colOff>638175</xdr:colOff>
                <xdr:row>4</xdr:row>
                <xdr:rowOff>19050</xdr:rowOff>
              </from>
              <to>
                <xdr:col>3</xdr:col>
                <xdr:colOff>752475</xdr:colOff>
                <xdr:row>6</xdr:row>
                <xdr:rowOff>66675</xdr:rowOff>
              </to>
            </anchor>
          </controlPr>
        </control>
      </mc:Choice>
      <mc:Fallback>
        <control shapeId="49451" r:id="rId16" name="cmd_Reportaje"/>
      </mc:Fallback>
    </mc:AlternateContent>
    <mc:AlternateContent xmlns:mc="http://schemas.openxmlformats.org/markup-compatibility/2006">
      <mc:Choice Requires="x14">
        <control shapeId="96465" r:id="rId18" name="cmdNuevaTransfer">
          <controlPr defaultSize="0" autoLine="0" r:id="rId19">
            <anchor>
              <from>
                <xdr:col>2</xdr:col>
                <xdr:colOff>276225</xdr:colOff>
                <xdr:row>4</xdr:row>
                <xdr:rowOff>19050</xdr:rowOff>
              </from>
              <to>
                <xdr:col>2</xdr:col>
                <xdr:colOff>628650</xdr:colOff>
                <xdr:row>5</xdr:row>
                <xdr:rowOff>114300</xdr:rowOff>
              </to>
            </anchor>
          </controlPr>
        </control>
      </mc:Choice>
      <mc:Fallback>
        <control shapeId="96465" r:id="rId18" name="cmdNuevaTransfer"/>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controls>
  <tableParts count="1">
    <tablePart r:id="rId27"/>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C14:C15</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D14:D15</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E14:E15</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G14:G15</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H14:H15</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I14:I15</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J14:J15</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K14:K15</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F14:F15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7"/>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231</v>
      </c>
      <c r="B1" t="s">
        <v>232</v>
      </c>
      <c r="C1" t="s">
        <v>233</v>
      </c>
      <c r="D1" t="s">
        <v>234</v>
      </c>
      <c r="E1" t="s">
        <v>235</v>
      </c>
      <c r="F1" t="s">
        <v>236</v>
      </c>
      <c r="G1" t="s">
        <v>237</v>
      </c>
      <c r="H1" t="s">
        <v>238</v>
      </c>
      <c r="I1" t="s">
        <v>239</v>
      </c>
      <c r="J1" t="s">
        <v>240</v>
      </c>
      <c r="K1" t="s">
        <v>241</v>
      </c>
      <c r="L1" t="s">
        <v>242</v>
      </c>
      <c r="M1" t="s">
        <v>243</v>
      </c>
      <c r="N1" t="s">
        <v>244</v>
      </c>
      <c r="O1" t="s">
        <v>245</v>
      </c>
      <c r="P1" t="s">
        <v>246</v>
      </c>
      <c r="Q1" t="s">
        <v>247</v>
      </c>
      <c r="R1" t="s">
        <v>248</v>
      </c>
      <c r="S1" t="s">
        <v>249</v>
      </c>
      <c r="T1" t="s">
        <v>287</v>
      </c>
      <c r="U1" t="s">
        <v>250</v>
      </c>
    </row>
    <row r="2" spans="1:21" x14ac:dyDescent="0.25">
      <c r="A2" t="s">
        <v>0</v>
      </c>
      <c r="B2" t="s">
        <v>216</v>
      </c>
      <c r="C2">
        <v>1</v>
      </c>
      <c r="D2">
        <v>1</v>
      </c>
      <c r="E2" s="24">
        <v>43249.370497685188</v>
      </c>
      <c r="F2" s="24">
        <v>43249.371388888889</v>
      </c>
      <c r="G2" s="24">
        <v>43249.371655092589</v>
      </c>
      <c r="H2" s="24"/>
      <c r="I2" s="24">
        <v>217</v>
      </c>
      <c r="J2" s="24">
        <v>0</v>
      </c>
      <c r="K2" s="24">
        <v>57</v>
      </c>
      <c r="L2" s="24">
        <v>45</v>
      </c>
      <c r="M2" s="24">
        <v>0</v>
      </c>
      <c r="N2" s="24">
        <v>0</v>
      </c>
      <c r="O2" s="24">
        <v>0</v>
      </c>
      <c r="P2" s="24">
        <v>0</v>
      </c>
      <c r="Q2" s="24">
        <v>0</v>
      </c>
      <c r="R2" s="24">
        <v>0</v>
      </c>
      <c r="S2" s="24">
        <v>0</v>
      </c>
      <c r="T2" s="24">
        <v>0</v>
      </c>
      <c r="U2" s="24" t="str">
        <f>tbl_hojascb_estado_hoy[[#This Row],[empresa]]&amp;tbl_hojascb_estado_hoy[[#This Row],[hoja_cb]]</f>
        <v>AGROTAAccesorios.xlsm</v>
      </c>
    </row>
    <row r="3" spans="1:21" x14ac:dyDescent="0.25">
      <c r="A3" t="s">
        <v>0</v>
      </c>
      <c r="B3" t="s">
        <v>217</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v>0</v>
      </c>
      <c r="U3" s="24" t="str">
        <f>tbl_hojascb_estado_hoy[[#This Row],[empresa]]&amp;tbl_hojascb_estado_hoy[[#This Row],[hoja_cb]]</f>
        <v>AGROTACAFE MATERIA PRIMA.xlsm</v>
      </c>
    </row>
    <row r="4" spans="1:21" x14ac:dyDescent="0.25">
      <c r="A4" t="s">
        <v>0</v>
      </c>
      <c r="B4" t="s">
        <v>6</v>
      </c>
      <c r="C4">
        <v>1</v>
      </c>
      <c r="D4">
        <v>1</v>
      </c>
      <c r="E4" s="24">
        <v>43254.867604166669</v>
      </c>
      <c r="F4" s="24">
        <v>43254.869189814817</v>
      </c>
      <c r="G4" s="24">
        <v>43254.912638888891</v>
      </c>
      <c r="H4" s="24"/>
      <c r="I4" s="24">
        <v>237</v>
      </c>
      <c r="J4" s="24">
        <v>0</v>
      </c>
      <c r="K4" s="24">
        <v>59</v>
      </c>
      <c r="L4" s="24">
        <v>44</v>
      </c>
      <c r="M4" s="24">
        <v>876422.42</v>
      </c>
      <c r="N4" s="24">
        <v>185483.42</v>
      </c>
      <c r="O4" s="24">
        <v>209520.14</v>
      </c>
      <c r="P4" s="24">
        <v>0</v>
      </c>
      <c r="Q4" s="24">
        <v>1426.24</v>
      </c>
      <c r="R4" s="24">
        <v>396429.8</v>
      </c>
      <c r="S4" s="24">
        <v>395003.56</v>
      </c>
      <c r="T4" s="24">
        <v>6</v>
      </c>
      <c r="U4" s="24" t="str">
        <f>tbl_hojascb_estado_hoy[[#This Row],[empresa]]&amp;tbl_hojascb_estado_hoy[[#This Row],[hoja_cb]]</f>
        <v>AGROTAControl Buffers.xlsm</v>
      </c>
    </row>
    <row r="5" spans="1:21" x14ac:dyDescent="0.25">
      <c r="A5" t="s">
        <v>0</v>
      </c>
      <c r="B5" t="s">
        <v>213</v>
      </c>
      <c r="C5">
        <v>1</v>
      </c>
      <c r="D5">
        <v>1</v>
      </c>
      <c r="E5" s="24">
        <v>43254.867604166669</v>
      </c>
      <c r="F5" s="24">
        <v>43254.869189814817</v>
      </c>
      <c r="G5" s="24">
        <v>43254.869386574072</v>
      </c>
      <c r="H5" s="24"/>
      <c r="I5" s="24">
        <v>237</v>
      </c>
      <c r="J5" s="24">
        <v>0</v>
      </c>
      <c r="K5" s="24">
        <v>59</v>
      </c>
      <c r="L5" s="24">
        <v>44</v>
      </c>
      <c r="M5" s="24">
        <v>876422.42</v>
      </c>
      <c r="N5" s="24">
        <v>185483.42</v>
      </c>
      <c r="O5" s="24">
        <v>209520.14</v>
      </c>
      <c r="P5" s="24">
        <v>0</v>
      </c>
      <c r="Q5" s="24">
        <v>1426.24</v>
      </c>
      <c r="R5" s="24">
        <v>396429.8</v>
      </c>
      <c r="S5" s="24">
        <v>395003.56</v>
      </c>
      <c r="T5" s="24">
        <v>6</v>
      </c>
      <c r="U5" s="24" t="str">
        <f>tbl_hojascb_estado_hoy[[#This Row],[empresa]]&amp;tbl_hojascb_estado_hoy[[#This Row],[hoja_cb]]</f>
        <v>AGROTAMaquinas ECHO - SHINDAIWA.xlsm</v>
      </c>
    </row>
    <row r="6" spans="1:21" x14ac:dyDescent="0.25">
      <c r="A6" t="s">
        <v>0</v>
      </c>
      <c r="B6" t="s">
        <v>286</v>
      </c>
      <c r="C6">
        <v>1</v>
      </c>
      <c r="D6">
        <v>1</v>
      </c>
      <c r="E6" s="24">
        <v>43254.864745370367</v>
      </c>
      <c r="F6" s="24">
        <v>43254.86582175926</v>
      </c>
      <c r="G6" s="24">
        <v>43254.866030092591</v>
      </c>
      <c r="H6" s="24"/>
      <c r="I6" s="24">
        <v>80</v>
      </c>
      <c r="J6" s="24">
        <v>0</v>
      </c>
      <c r="K6" s="24">
        <v>461</v>
      </c>
      <c r="L6" s="24">
        <v>0</v>
      </c>
      <c r="M6" s="24">
        <v>0</v>
      </c>
      <c r="N6" s="24">
        <v>165.25</v>
      </c>
      <c r="O6" s="24">
        <v>0</v>
      </c>
      <c r="P6" s="24">
        <v>0</v>
      </c>
      <c r="Q6" s="24">
        <v>0</v>
      </c>
      <c r="R6" s="24">
        <v>165.25</v>
      </c>
      <c r="S6" s="24">
        <v>165.25</v>
      </c>
      <c r="T6" s="24">
        <v>0</v>
      </c>
      <c r="U6" s="24" t="str">
        <f>tbl_hojascb_estado_hoy[[#This Row],[empresa]]&amp;tbl_hojascb_estado_hoy[[#This Row],[hoja_cb]]</f>
        <v>AGROTAMilagro Sukampo.xlsm</v>
      </c>
    </row>
    <row r="7" spans="1:21" x14ac:dyDescent="0.25">
      <c r="A7" t="s">
        <v>0</v>
      </c>
      <c r="B7" t="s">
        <v>255</v>
      </c>
      <c r="C7">
        <v>1</v>
      </c>
      <c r="D7">
        <v>1</v>
      </c>
      <c r="E7" s="24">
        <v>43237.484907407408</v>
      </c>
      <c r="F7" s="24">
        <v>43237.486157407409</v>
      </c>
      <c r="G7" s="24">
        <v>43237.874016203707</v>
      </c>
      <c r="H7" s="24"/>
      <c r="I7" s="24">
        <v>220</v>
      </c>
      <c r="J7" s="24">
        <v>0</v>
      </c>
      <c r="K7" s="24">
        <v>1282</v>
      </c>
      <c r="L7" s="24">
        <v>1171</v>
      </c>
      <c r="M7" s="24">
        <v>97900.01</v>
      </c>
      <c r="N7" s="24">
        <v>120353.16</v>
      </c>
      <c r="O7" s="24">
        <v>8221.1</v>
      </c>
      <c r="P7" s="24">
        <v>0</v>
      </c>
      <c r="Q7" s="24">
        <v>2012.8</v>
      </c>
      <c r="R7" s="24">
        <v>130587.06</v>
      </c>
      <c r="S7" s="24">
        <v>128574.26</v>
      </c>
      <c r="T7" s="24">
        <v>0</v>
      </c>
      <c r="U7"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59"/>
  <sheetViews>
    <sheetView showGridLines="0" topLeftCell="A27" workbookViewId="0">
      <selection activeCell="C58" sqref="C58"/>
    </sheetView>
  </sheetViews>
  <sheetFormatPr baseColWidth="10" defaultRowHeight="15" x14ac:dyDescent="0.25"/>
  <cols>
    <col min="1" max="2" width="14.42578125" bestFit="1" customWidth="1"/>
    <col min="3" max="3" width="88.85546875" customWidth="1"/>
  </cols>
  <sheetData>
    <row r="1" spans="1:3" x14ac:dyDescent="0.25">
      <c r="A1" t="s">
        <v>116</v>
      </c>
      <c r="B1" t="s">
        <v>114</v>
      </c>
      <c r="C1" t="s">
        <v>115</v>
      </c>
    </row>
    <row r="2" spans="1:3" x14ac:dyDescent="0.25">
      <c r="A2">
        <f>ROW()-ROW(Indicaciones[[#Headers],[ID]])</f>
        <v>1</v>
      </c>
      <c r="C2" t="s">
        <v>261</v>
      </c>
    </row>
    <row r="3" spans="1:3" x14ac:dyDescent="0.25">
      <c r="A3">
        <f>ROW()-ROW(Indicaciones[[#Headers],[ID]])</f>
        <v>2</v>
      </c>
      <c r="C3" t="s">
        <v>262</v>
      </c>
    </row>
    <row r="4" spans="1:3" x14ac:dyDescent="0.25">
      <c r="A4" s="2">
        <f>ROW()-ROW(Indicaciones[[#Headers],[ID]])</f>
        <v>3</v>
      </c>
      <c r="C4" t="s">
        <v>263</v>
      </c>
    </row>
    <row r="5" spans="1:3" x14ac:dyDescent="0.25">
      <c r="A5" s="2">
        <f>ROW()-ROW(Indicaciones[[#Headers],[ID]])</f>
        <v>4</v>
      </c>
      <c r="C5" t="s">
        <v>264</v>
      </c>
    </row>
    <row r="6" spans="1:3" x14ac:dyDescent="0.25">
      <c r="A6" s="2">
        <f>ROW()-ROW(Indicaciones[[#Headers],[ID]])</f>
        <v>5</v>
      </c>
      <c r="C6" t="s">
        <v>117</v>
      </c>
    </row>
    <row r="7" spans="1:3" x14ac:dyDescent="0.25">
      <c r="A7" s="2">
        <f>ROW()-ROW(Indicaciones[[#Headers],[ID]])</f>
        <v>6</v>
      </c>
      <c r="C7" t="s">
        <v>118</v>
      </c>
    </row>
    <row r="8" spans="1:3" x14ac:dyDescent="0.25">
      <c r="A8" s="2">
        <f>ROW()-ROW(Indicaciones[[#Headers],[ID]])</f>
        <v>7</v>
      </c>
      <c r="C8" t="s">
        <v>151</v>
      </c>
    </row>
    <row r="9" spans="1:3" x14ac:dyDescent="0.25">
      <c r="A9" s="2">
        <f>ROW()-ROW(Indicaciones[[#Headers],[ID]])</f>
        <v>8</v>
      </c>
      <c r="C9" t="s">
        <v>265</v>
      </c>
    </row>
    <row r="10" spans="1:3" x14ac:dyDescent="0.25">
      <c r="A10" s="2">
        <f>ROW()-ROW(Indicaciones[[#Headers],[ID]])</f>
        <v>9</v>
      </c>
      <c r="C10" t="s">
        <v>119</v>
      </c>
    </row>
    <row r="11" spans="1:3" x14ac:dyDescent="0.25">
      <c r="A11" s="2">
        <f>ROW()-ROW(Indicaciones[[#Headers],[ID]])</f>
        <v>10</v>
      </c>
      <c r="C11" t="s">
        <v>142</v>
      </c>
    </row>
    <row r="12" spans="1:3" x14ac:dyDescent="0.25">
      <c r="A12" s="2">
        <f>ROW()-ROW(Indicaciones[[#Headers],[ID]])</f>
        <v>11</v>
      </c>
      <c r="C12" t="s">
        <v>143</v>
      </c>
    </row>
    <row r="13" spans="1:3" x14ac:dyDescent="0.25">
      <c r="A13" s="2">
        <f>ROW()-ROW(Indicaciones[[#Headers],[ID]])</f>
        <v>12</v>
      </c>
      <c r="C13" t="s">
        <v>120</v>
      </c>
    </row>
    <row r="14" spans="1:3" x14ac:dyDescent="0.25">
      <c r="A14" s="2">
        <f>ROW()-ROW(Indicaciones[[#Headers],[ID]])</f>
        <v>13</v>
      </c>
      <c r="C14" t="s">
        <v>121</v>
      </c>
    </row>
    <row r="15" spans="1:3" x14ac:dyDescent="0.25">
      <c r="A15" s="2">
        <f>ROW()-ROW(Indicaciones[[#Headers],[ID]])</f>
        <v>14</v>
      </c>
      <c r="C15" t="s">
        <v>122</v>
      </c>
    </row>
    <row r="16" spans="1:3" x14ac:dyDescent="0.25">
      <c r="A16" s="2">
        <f>ROW()-ROW(Indicaciones[[#Headers],[ID]])</f>
        <v>15</v>
      </c>
      <c r="C16" t="s">
        <v>123</v>
      </c>
    </row>
    <row r="17" spans="1:3" x14ac:dyDescent="0.25">
      <c r="A17" s="2">
        <f>ROW()-ROW(Indicaciones[[#Headers],[ID]])</f>
        <v>16</v>
      </c>
      <c r="C17" t="s">
        <v>124</v>
      </c>
    </row>
    <row r="18" spans="1:3" x14ac:dyDescent="0.25">
      <c r="A18" s="2">
        <f>ROW()-ROW(Indicaciones[[#Headers],[ID]])</f>
        <v>17</v>
      </c>
      <c r="C18" t="s">
        <v>154</v>
      </c>
    </row>
    <row r="19" spans="1:3" x14ac:dyDescent="0.25">
      <c r="A19" s="2">
        <f>ROW()-ROW(Indicaciones[[#Headers],[ID]])</f>
        <v>18</v>
      </c>
      <c r="C19" t="s">
        <v>125</v>
      </c>
    </row>
    <row r="20" spans="1:3" x14ac:dyDescent="0.25">
      <c r="A20" s="2">
        <f>ROW()-ROW(Indicaciones[[#Headers],[ID]])</f>
        <v>19</v>
      </c>
      <c r="C20" t="s">
        <v>126</v>
      </c>
    </row>
    <row r="21" spans="1:3" x14ac:dyDescent="0.25">
      <c r="A21" s="2">
        <f>ROW()-ROW(Indicaciones[[#Headers],[ID]])</f>
        <v>20</v>
      </c>
      <c r="C21" t="s">
        <v>127</v>
      </c>
    </row>
    <row r="22" spans="1:3" x14ac:dyDescent="0.25">
      <c r="A22" s="2">
        <f>ROW()-ROW(Indicaciones[[#Headers],[ID]])</f>
        <v>21</v>
      </c>
      <c r="C22" t="s">
        <v>128</v>
      </c>
    </row>
    <row r="23" spans="1:3" x14ac:dyDescent="0.25">
      <c r="A23" s="2">
        <f>ROW()-ROW(Indicaciones[[#Headers],[ID]])</f>
        <v>22</v>
      </c>
      <c r="C23" t="s">
        <v>129</v>
      </c>
    </row>
    <row r="24" spans="1:3" x14ac:dyDescent="0.25">
      <c r="A24" s="2">
        <f>ROW()-ROW(Indicaciones[[#Headers],[ID]])</f>
        <v>23</v>
      </c>
      <c r="C24" t="s">
        <v>130</v>
      </c>
    </row>
    <row r="25" spans="1:3" x14ac:dyDescent="0.25">
      <c r="A25" s="2">
        <f>ROW()-ROW(Indicaciones[[#Headers],[ID]])</f>
        <v>24</v>
      </c>
      <c r="C25" t="s">
        <v>131</v>
      </c>
    </row>
    <row r="26" spans="1:3" x14ac:dyDescent="0.25">
      <c r="A26" s="2">
        <f>ROW()-ROW(Indicaciones[[#Headers],[ID]])</f>
        <v>25</v>
      </c>
      <c r="C26" t="s">
        <v>132</v>
      </c>
    </row>
    <row r="27" spans="1:3" x14ac:dyDescent="0.25">
      <c r="A27" s="2">
        <f>ROW()-ROW(Indicaciones[[#Headers],[ID]])</f>
        <v>26</v>
      </c>
      <c r="C27" t="s">
        <v>133</v>
      </c>
    </row>
    <row r="28" spans="1:3" x14ac:dyDescent="0.25">
      <c r="A28" s="2">
        <f>ROW()-ROW(Indicaciones[[#Headers],[ID]])</f>
        <v>27</v>
      </c>
      <c r="C28" t="s">
        <v>134</v>
      </c>
    </row>
    <row r="29" spans="1:3" x14ac:dyDescent="0.25">
      <c r="A29" s="2">
        <f>ROW()-ROW(Indicaciones[[#Headers],[ID]])</f>
        <v>28</v>
      </c>
      <c r="C29" t="s">
        <v>135</v>
      </c>
    </row>
    <row r="30" spans="1:3" x14ac:dyDescent="0.25">
      <c r="A30" s="2">
        <f>ROW()-ROW(Indicaciones[[#Headers],[ID]])</f>
        <v>29</v>
      </c>
      <c r="C30" t="s">
        <v>136</v>
      </c>
    </row>
    <row r="31" spans="1:3" x14ac:dyDescent="0.25">
      <c r="A31" s="2">
        <f>ROW()-ROW(Indicaciones[[#Headers],[ID]])</f>
        <v>30</v>
      </c>
      <c r="C31" t="s">
        <v>137</v>
      </c>
    </row>
    <row r="32" spans="1:3" x14ac:dyDescent="0.25">
      <c r="A32" s="2">
        <f>ROW()-ROW(Indicaciones[[#Headers],[ID]])</f>
        <v>31</v>
      </c>
      <c r="C32" t="s">
        <v>138</v>
      </c>
    </row>
    <row r="33" spans="1:3" x14ac:dyDescent="0.25">
      <c r="A33" s="2">
        <f>ROW()-ROW(Indicaciones[[#Headers],[ID]])</f>
        <v>32</v>
      </c>
      <c r="C33" t="s">
        <v>139</v>
      </c>
    </row>
    <row r="34" spans="1:3" x14ac:dyDescent="0.25">
      <c r="A34" s="2">
        <f>ROW()-ROW(Indicaciones[[#Headers],[ID]])</f>
        <v>33</v>
      </c>
      <c r="C34" t="s">
        <v>140</v>
      </c>
    </row>
    <row r="35" spans="1:3" x14ac:dyDescent="0.25">
      <c r="A35" s="2">
        <f>ROW()-ROW(Indicaciones[[#Headers],[ID]])</f>
        <v>34</v>
      </c>
      <c r="C35" t="s">
        <v>141</v>
      </c>
    </row>
    <row r="36" spans="1:3" x14ac:dyDescent="0.25">
      <c r="A36" s="2">
        <f>ROW()-ROW(Indicaciones[[#Headers],[ID]])</f>
        <v>35</v>
      </c>
      <c r="C36" t="s">
        <v>144</v>
      </c>
    </row>
    <row r="37" spans="1:3" x14ac:dyDescent="0.25">
      <c r="A37" s="2">
        <f>ROW()-ROW(Indicaciones[[#Headers],[ID]])</f>
        <v>36</v>
      </c>
      <c r="C37" t="s">
        <v>145</v>
      </c>
    </row>
    <row r="38" spans="1:3" x14ac:dyDescent="0.25">
      <c r="A38" s="2">
        <f>ROW()-ROW(Indicaciones[[#Headers],[ID]])</f>
        <v>37</v>
      </c>
      <c r="C38" t="s">
        <v>146</v>
      </c>
    </row>
    <row r="39" spans="1:3" x14ac:dyDescent="0.25">
      <c r="A39" s="2">
        <f>ROW()-ROW(Indicaciones[[#Headers],[ID]])</f>
        <v>38</v>
      </c>
      <c r="C39" t="s">
        <v>147</v>
      </c>
    </row>
    <row r="40" spans="1:3" x14ac:dyDescent="0.25">
      <c r="A40" s="2">
        <f>ROW()-ROW(Indicaciones[[#Headers],[ID]])</f>
        <v>39</v>
      </c>
      <c r="C40" t="s">
        <v>148</v>
      </c>
    </row>
    <row r="41" spans="1:3" x14ac:dyDescent="0.25">
      <c r="A41" s="2">
        <f>ROW()-ROW(Indicaciones[[#Headers],[ID]])</f>
        <v>40</v>
      </c>
      <c r="C41" t="s">
        <v>149</v>
      </c>
    </row>
    <row r="42" spans="1:3" x14ac:dyDescent="0.25">
      <c r="A42" s="2">
        <f>ROW()-ROW(Indicaciones[[#Headers],[ID]])</f>
        <v>41</v>
      </c>
      <c r="C42" t="s">
        <v>150</v>
      </c>
    </row>
    <row r="43" spans="1:3" x14ac:dyDescent="0.25">
      <c r="A43" s="2">
        <f>ROW()-ROW(Indicaciones[[#Headers],[ID]])</f>
        <v>42</v>
      </c>
      <c r="C43" t="s">
        <v>266</v>
      </c>
    </row>
    <row r="44" spans="1:3" x14ac:dyDescent="0.25">
      <c r="A44" s="2">
        <f>ROW()-ROW(Indicaciones[[#Headers],[ID]])</f>
        <v>43</v>
      </c>
      <c r="C44" t="s">
        <v>267</v>
      </c>
    </row>
    <row r="45" spans="1:3" x14ac:dyDescent="0.25">
      <c r="A45" s="2">
        <f>ROW()-ROW(Indicaciones[[#Headers],[ID]])</f>
        <v>44</v>
      </c>
      <c r="C45" t="s">
        <v>268</v>
      </c>
    </row>
    <row r="46" spans="1:3" x14ac:dyDescent="0.25">
      <c r="A46" s="2">
        <f>ROW()-ROW(Indicaciones[[#Headers],[ID]])</f>
        <v>45</v>
      </c>
      <c r="C46" t="s">
        <v>269</v>
      </c>
    </row>
    <row r="47" spans="1:3" x14ac:dyDescent="0.25">
      <c r="A47" s="2">
        <f>ROW()-ROW(Indicaciones[[#Headers],[ID]])</f>
        <v>46</v>
      </c>
      <c r="C47" t="s">
        <v>270</v>
      </c>
    </row>
    <row r="48" spans="1:3" x14ac:dyDescent="0.25">
      <c r="A48" s="2">
        <f>ROW()-ROW(Indicaciones[[#Headers],[ID]])</f>
        <v>47</v>
      </c>
      <c r="C48" t="s">
        <v>271</v>
      </c>
    </row>
    <row r="49" spans="1:3" x14ac:dyDescent="0.25">
      <c r="A49" s="2">
        <f>ROW()-ROW(Indicaciones[[#Headers],[ID]])</f>
        <v>48</v>
      </c>
      <c r="C49" t="s">
        <v>272</v>
      </c>
    </row>
    <row r="50" spans="1:3" x14ac:dyDescent="0.25">
      <c r="A50" s="2">
        <f>ROW()-ROW(Indicaciones[[#Headers],[ID]])</f>
        <v>49</v>
      </c>
      <c r="C50" t="s">
        <v>273</v>
      </c>
    </row>
    <row r="51" spans="1:3" x14ac:dyDescent="0.25">
      <c r="A51" s="2">
        <f>ROW()-ROW(Indicaciones[[#Headers],[ID]])</f>
        <v>50</v>
      </c>
      <c r="C51" t="s">
        <v>274</v>
      </c>
    </row>
    <row r="52" spans="1:3" x14ac:dyDescent="0.25">
      <c r="A52" s="2">
        <f>ROW()-ROW(Indicaciones[[#Headers],[ID]])</f>
        <v>51</v>
      </c>
      <c r="C52" t="s">
        <v>275</v>
      </c>
    </row>
    <row r="53" spans="1:3" x14ac:dyDescent="0.25">
      <c r="A53" s="2">
        <f>ROW()-ROW(Indicaciones[[#Headers],[ID]])</f>
        <v>52</v>
      </c>
      <c r="C53" t="s">
        <v>276</v>
      </c>
    </row>
    <row r="54" spans="1:3" x14ac:dyDescent="0.25">
      <c r="A54" s="2">
        <f>ROW()-ROW(Indicaciones[[#Headers],[ID]])</f>
        <v>53</v>
      </c>
      <c r="C54" t="s">
        <v>277</v>
      </c>
    </row>
    <row r="55" spans="1:3" x14ac:dyDescent="0.25">
      <c r="A55" s="2">
        <f>ROW()-ROW(Indicaciones[[#Headers],[ID]])</f>
        <v>54</v>
      </c>
      <c r="C55" t="s">
        <v>278</v>
      </c>
    </row>
    <row r="56" spans="1:3" x14ac:dyDescent="0.25">
      <c r="A56" s="2">
        <f>ROW()-ROW(Indicaciones[[#Headers],[ID]])</f>
        <v>55</v>
      </c>
      <c r="C56" t="s">
        <v>279</v>
      </c>
    </row>
    <row r="57" spans="1:3" x14ac:dyDescent="0.25">
      <c r="A57" s="2">
        <f>ROW()-ROW(Indicaciones[[#Headers],[ID]])</f>
        <v>56</v>
      </c>
      <c r="C57" t="s">
        <v>280</v>
      </c>
    </row>
    <row r="58" spans="1:3" x14ac:dyDescent="0.25">
      <c r="A58" s="2">
        <f>ROW()-ROW(Indicaciones[[#Headers],[ID]])</f>
        <v>57</v>
      </c>
      <c r="C58" t="s">
        <v>281</v>
      </c>
    </row>
    <row r="59" spans="1:3" x14ac:dyDescent="0.25">
      <c r="A59" s="2">
        <f>ROW()-ROW(Indicaciones[[#Headers],[ID]])</f>
        <v>58</v>
      </c>
      <c r="C59" t="s">
        <v>282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80</v>
      </c>
    </row>
    <row r="24" spans="3:4" x14ac:dyDescent="0.25">
      <c r="C24">
        <v>1</v>
      </c>
      <c r="D24" t="s">
        <v>81</v>
      </c>
    </row>
    <row r="25" spans="3:4" x14ac:dyDescent="0.25">
      <c r="C25">
        <v>2</v>
      </c>
      <c r="D25" t="s">
        <v>82</v>
      </c>
    </row>
    <row r="26" spans="3:4" x14ac:dyDescent="0.25">
      <c r="C26">
        <v>3</v>
      </c>
      <c r="D26" t="s">
        <v>92</v>
      </c>
    </row>
    <row r="27" spans="3:4" x14ac:dyDescent="0.25">
      <c r="C27">
        <v>4</v>
      </c>
      <c r="D27" t="s">
        <v>83</v>
      </c>
    </row>
    <row r="28" spans="3:4" x14ac:dyDescent="0.25">
      <c r="C28">
        <v>5</v>
      </c>
      <c r="D28" t="s">
        <v>84</v>
      </c>
    </row>
    <row r="29" spans="3:4" x14ac:dyDescent="0.25">
      <c r="C29">
        <v>6</v>
      </c>
      <c r="D29" t="s">
        <v>85</v>
      </c>
    </row>
    <row r="30" spans="3:4" x14ac:dyDescent="0.25">
      <c r="C30">
        <v>7</v>
      </c>
      <c r="D30" t="s">
        <v>86</v>
      </c>
    </row>
    <row r="31" spans="3:4" x14ac:dyDescent="0.25">
      <c r="C31">
        <v>8</v>
      </c>
      <c r="D31" t="s">
        <v>87</v>
      </c>
    </row>
    <row r="32" spans="3:4" x14ac:dyDescent="0.25">
      <c r="C32">
        <v>9</v>
      </c>
      <c r="D32" t="s">
        <v>88</v>
      </c>
    </row>
    <row r="33" spans="3:4" x14ac:dyDescent="0.25">
      <c r="C33">
        <v>10</v>
      </c>
      <c r="D33" t="s">
        <v>89</v>
      </c>
    </row>
    <row r="34" spans="3:4" x14ac:dyDescent="0.25">
      <c r="C34">
        <v>10.1</v>
      </c>
      <c r="D34" t="s">
        <v>111</v>
      </c>
    </row>
    <row r="35" spans="3:4" x14ac:dyDescent="0.25">
      <c r="C35">
        <v>10.199999999999999</v>
      </c>
      <c r="D35" t="s">
        <v>152</v>
      </c>
    </row>
    <row r="36" spans="3:4" x14ac:dyDescent="0.25">
      <c r="C36">
        <v>11</v>
      </c>
      <c r="D36" t="s">
        <v>90</v>
      </c>
    </row>
    <row r="37" spans="3:4" x14ac:dyDescent="0.25">
      <c r="C37">
        <v>12</v>
      </c>
      <c r="D37" t="s">
        <v>93</v>
      </c>
    </row>
    <row r="38" spans="3:4" x14ac:dyDescent="0.25">
      <c r="C38">
        <v>13</v>
      </c>
      <c r="D38" t="s">
        <v>94</v>
      </c>
    </row>
    <row r="39" spans="3:4" x14ac:dyDescent="0.25">
      <c r="C39">
        <v>14</v>
      </c>
      <c r="D39" t="s">
        <v>95</v>
      </c>
    </row>
    <row r="40" spans="3:4" x14ac:dyDescent="0.25">
      <c r="C40">
        <v>15</v>
      </c>
      <c r="D40" t="s">
        <v>96</v>
      </c>
    </row>
    <row r="41" spans="3:4" x14ac:dyDescent="0.25">
      <c r="C41">
        <v>16</v>
      </c>
      <c r="D41" t="s">
        <v>97</v>
      </c>
    </row>
    <row r="42" spans="3:4" x14ac:dyDescent="0.25">
      <c r="C42">
        <v>17</v>
      </c>
      <c r="D42" t="s">
        <v>98</v>
      </c>
    </row>
    <row r="43" spans="3:4" x14ac:dyDescent="0.25">
      <c r="C43">
        <v>18</v>
      </c>
      <c r="D43" t="s">
        <v>99</v>
      </c>
    </row>
    <row r="44" spans="3:4" x14ac:dyDescent="0.25">
      <c r="C44">
        <v>19</v>
      </c>
      <c r="D44" t="s">
        <v>100</v>
      </c>
    </row>
    <row r="45" spans="3:4" x14ac:dyDescent="0.25">
      <c r="C45">
        <v>20</v>
      </c>
      <c r="D45" t="s">
        <v>102</v>
      </c>
    </row>
    <row r="46" spans="3:4" x14ac:dyDescent="0.25">
      <c r="C46">
        <v>21</v>
      </c>
      <c r="D46" t="s">
        <v>101</v>
      </c>
    </row>
    <row r="47" spans="3:4" x14ac:dyDescent="0.25">
      <c r="C47">
        <v>22</v>
      </c>
      <c r="D47" t="s">
        <v>103</v>
      </c>
    </row>
    <row r="48" spans="3:4" x14ac:dyDescent="0.25">
      <c r="C48">
        <v>23</v>
      </c>
      <c r="D48" t="s">
        <v>104</v>
      </c>
    </row>
    <row r="49" spans="3:4" x14ac:dyDescent="0.25">
      <c r="C49">
        <v>24</v>
      </c>
      <c r="D49" t="s">
        <v>105</v>
      </c>
    </row>
    <row r="50" spans="3:4" x14ac:dyDescent="0.25">
      <c r="C50">
        <v>25</v>
      </c>
      <c r="D50" t="s">
        <v>106</v>
      </c>
    </row>
    <row r="51" spans="3:4" x14ac:dyDescent="0.25">
      <c r="C51">
        <v>26</v>
      </c>
      <c r="D51" t="s">
        <v>108</v>
      </c>
    </row>
    <row r="52" spans="3:4" x14ac:dyDescent="0.25">
      <c r="C52">
        <v>27</v>
      </c>
      <c r="D52" t="s">
        <v>109</v>
      </c>
    </row>
    <row r="53" spans="3:4" x14ac:dyDescent="0.25">
      <c r="C53">
        <v>28</v>
      </c>
      <c r="D53" t="s">
        <v>107</v>
      </c>
    </row>
    <row r="54" spans="3:4" x14ac:dyDescent="0.25">
      <c r="C54">
        <v>29</v>
      </c>
      <c r="D54" t="s">
        <v>153</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60</v>
      </c>
      <c r="D1" s="21" t="s">
        <v>61</v>
      </c>
      <c r="E1" s="21" t="s">
        <v>73</v>
      </c>
      <c r="F1" s="21" t="s">
        <v>155</v>
      </c>
      <c r="G1" s="21" t="s">
        <v>64</v>
      </c>
      <c r="H1" s="21" t="s">
        <v>65</v>
      </c>
      <c r="I1" s="21" t="s">
        <v>62</v>
      </c>
      <c r="J1" s="21" t="s">
        <v>79</v>
      </c>
      <c r="K1" s="21" t="s">
        <v>66</v>
      </c>
      <c r="L1" s="21" t="s">
        <v>72</v>
      </c>
      <c r="M1" s="21" t="s">
        <v>68</v>
      </c>
      <c r="N1" s="21" t="s">
        <v>67</v>
      </c>
      <c r="O1" s="21" t="s">
        <v>69</v>
      </c>
      <c r="P1" s="21" t="s">
        <v>70</v>
      </c>
      <c r="Q1" s="21" t="s">
        <v>71</v>
      </c>
    </row>
    <row r="2" spans="2:22" x14ac:dyDescent="0.25">
      <c r="B2" t="s">
        <v>0</v>
      </c>
      <c r="C2" t="s">
        <v>286</v>
      </c>
      <c r="D2" s="6">
        <v>1</v>
      </c>
      <c r="E2" s="6" t="s">
        <v>292</v>
      </c>
      <c r="F2" s="6">
        <v>1</v>
      </c>
      <c r="G2" s="26">
        <v>43250.911898148152</v>
      </c>
      <c r="H2" s="26">
        <v>43250.912812499999</v>
      </c>
      <c r="I2" s="25">
        <f>tbl_Fechas_Refrescado[[#This Row],[FIN]]-tbl_Fechas_Refrescado[[#This Row],[INICIO]]</f>
        <v>9.1435184731381014E-4</v>
      </c>
      <c r="J2" s="25"/>
      <c r="K2" s="22">
        <v>84</v>
      </c>
      <c r="L2" s="22">
        <v>0</v>
      </c>
      <c r="M2" s="22">
        <v>461</v>
      </c>
      <c r="N2" s="22">
        <v>0</v>
      </c>
      <c r="O2" s="23">
        <v>0</v>
      </c>
      <c r="P2" s="23">
        <v>165</v>
      </c>
      <c r="Q2" s="23">
        <v>0</v>
      </c>
      <c r="V2" s="24"/>
    </row>
    <row r="3" spans="2:22" x14ac:dyDescent="0.25">
      <c r="B3" t="s">
        <v>0</v>
      </c>
      <c r="C3" t="s">
        <v>213</v>
      </c>
      <c r="D3" s="6">
        <v>1</v>
      </c>
      <c r="E3" s="6" t="s">
        <v>292</v>
      </c>
      <c r="F3" s="6">
        <v>1</v>
      </c>
      <c r="G3" s="26">
        <v>43250.909953703704</v>
      </c>
      <c r="H3" s="26">
        <v>43250.911365740743</v>
      </c>
      <c r="I3" s="25">
        <f>tbl_Fechas_Refrescado[[#This Row],[FIN]]-tbl_Fechas_Refrescado[[#This Row],[INICIO]]</f>
        <v>1.4120370396994986E-3</v>
      </c>
      <c r="J3" s="25"/>
      <c r="K3" s="22">
        <v>213</v>
      </c>
      <c r="L3" s="22">
        <v>0</v>
      </c>
      <c r="M3" s="22">
        <v>57</v>
      </c>
      <c r="N3" s="22">
        <v>44</v>
      </c>
      <c r="O3" s="23">
        <v>876422</v>
      </c>
      <c r="P3" s="23">
        <v>212383</v>
      </c>
      <c r="Q3" s="23">
        <v>209520</v>
      </c>
    </row>
    <row r="4" spans="2:22" x14ac:dyDescent="0.25">
      <c r="B4" t="s">
        <v>74</v>
      </c>
      <c r="C4" s="6">
        <f>SUBTOTAL(103,tbl_Fechas_Refrescado[HOJA CB])</f>
        <v>2</v>
      </c>
      <c r="D4" s="6"/>
      <c r="E4" s="6"/>
      <c r="F4" s="6"/>
      <c r="G4" s="26">
        <f>SUBTOTAL(105,tbl_Fechas_Refrescado[INICIO])</f>
        <v>43250.909953703704</v>
      </c>
      <c r="H4" s="26">
        <f>SUBTOTAL(104,tbl_Fechas_Refrescado[FIN])</f>
        <v>43250.912812499999</v>
      </c>
      <c r="I4" s="25">
        <f>SUBTOTAL(109,tbl_Fechas_Refrescado[DURACIÓN])</f>
        <v>2.3263888870133087E-3</v>
      </c>
      <c r="J4" s="25"/>
      <c r="K4" s="6">
        <f>SUBTOTAL(104,tbl_Fechas_Refrescado[DIAS PERIODO])</f>
        <v>213</v>
      </c>
      <c r="L4" s="6">
        <f>SUBTOTAL(109,tbl_Fechas_Refrescado[DUPLICADOS])</f>
        <v>0</v>
      </c>
      <c r="M4" s="6">
        <f>SUBTOTAL(109,tbl_Fechas_Refrescado[SKUs Totales])</f>
        <v>518</v>
      </c>
      <c r="N4" s="6">
        <f>SUBTOTAL(109,tbl_Fechas_Refrescado[SKUs Buffer])</f>
        <v>44</v>
      </c>
      <c r="O4" s="23">
        <f>SUBTOTAL(109,tbl_Fechas_Refrescado[COSTO BUFFER])</f>
        <v>876422</v>
      </c>
      <c r="P4" s="23">
        <f>SUBTOTAL(109,tbl_Fechas_Refrescado[COSTO FISICO])</f>
        <v>212548</v>
      </c>
      <c r="Q4" s="23">
        <f>SUBTOTAL(109,tbl_Fechas_Refrescado[COSTO TRANSITO])</f>
        <v>209520</v>
      </c>
    </row>
  </sheetData>
  <sheetProtection sort="0" autoFilter="0"/>
  <conditionalFormatting sqref="B2:Q3">
    <cfRule type="expression" dxfId="17" priority="2">
      <formula>$L2&lt;&gt;0</formula>
    </cfRule>
    <cfRule type="expression" dxfId="16" priority="3">
      <formula>OR(AND($D2=1,(DATE(YEAR($H2),MONTH($H2),DAY($H2)))&lt;&gt;TODAY()),$D2=0,$F2=0)</formula>
    </cfRule>
  </conditionalFormatting>
  <conditionalFormatting sqref="E2:F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heetViews>
  <sheetFormatPr baseColWidth="10" defaultColWidth="11.42578125" defaultRowHeight="15" x14ac:dyDescent="0.25"/>
  <cols>
    <col min="1" max="1" width="18.140625" bestFit="1" customWidth="1"/>
  </cols>
  <sheetData>
    <row r="1" spans="1:1" x14ac:dyDescent="0.25">
      <c r="A1" t="s">
        <v>32</v>
      </c>
    </row>
    <row r="2" spans="1:1" x14ac:dyDescent="0.25">
      <c r="A2" t="s">
        <v>0</v>
      </c>
    </row>
    <row r="3" spans="1:1" x14ac:dyDescent="0.25">
      <c r="A3" t="s">
        <v>25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27</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31</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31</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28</v>
      </c>
      <c r="D1" t="s">
        <v>29</v>
      </c>
    </row>
    <row r="2" spans="1:4" x14ac:dyDescent="0.25">
      <c r="A2" t="s">
        <v>0</v>
      </c>
      <c r="B2" t="s">
        <v>159</v>
      </c>
      <c r="C2" t="s">
        <v>160</v>
      </c>
      <c r="D2">
        <v>1</v>
      </c>
    </row>
    <row r="3" spans="1:4" x14ac:dyDescent="0.25">
      <c r="A3" t="s">
        <v>0</v>
      </c>
      <c r="B3" t="s">
        <v>161</v>
      </c>
      <c r="C3" t="s">
        <v>160</v>
      </c>
      <c r="D3">
        <v>1</v>
      </c>
    </row>
    <row r="4" spans="1:4" x14ac:dyDescent="0.25">
      <c r="A4" t="s">
        <v>0</v>
      </c>
      <c r="B4" t="s">
        <v>162</v>
      </c>
      <c r="C4" t="s">
        <v>160</v>
      </c>
      <c r="D4">
        <v>1</v>
      </c>
    </row>
    <row r="5" spans="1:4" x14ac:dyDescent="0.25">
      <c r="A5" t="s">
        <v>0</v>
      </c>
      <c r="B5" t="s">
        <v>162</v>
      </c>
      <c r="C5" t="s">
        <v>163</v>
      </c>
      <c r="D5">
        <v>2</v>
      </c>
    </row>
    <row r="6" spans="1:4" x14ac:dyDescent="0.25">
      <c r="A6" t="s">
        <v>0</v>
      </c>
      <c r="B6" t="s">
        <v>164</v>
      </c>
      <c r="C6" t="s">
        <v>160</v>
      </c>
      <c r="D6">
        <v>1</v>
      </c>
    </row>
    <row r="7" spans="1:4" x14ac:dyDescent="0.25">
      <c r="A7" t="s">
        <v>0</v>
      </c>
      <c r="B7" t="s">
        <v>164</v>
      </c>
      <c r="C7" t="s">
        <v>163</v>
      </c>
      <c r="D7">
        <v>2</v>
      </c>
    </row>
    <row r="8" spans="1:4" x14ac:dyDescent="0.25">
      <c r="A8" t="s">
        <v>0</v>
      </c>
      <c r="B8" t="s">
        <v>164</v>
      </c>
      <c r="C8" t="s">
        <v>165</v>
      </c>
      <c r="D8">
        <v>4</v>
      </c>
    </row>
    <row r="9" spans="1:4" x14ac:dyDescent="0.25">
      <c r="A9" t="s">
        <v>0</v>
      </c>
      <c r="B9" t="s">
        <v>166</v>
      </c>
      <c r="C9" t="s">
        <v>160</v>
      </c>
      <c r="D9">
        <v>1</v>
      </c>
    </row>
    <row r="10" spans="1:4" x14ac:dyDescent="0.25">
      <c r="A10" t="s">
        <v>0</v>
      </c>
      <c r="B10" t="s">
        <v>167</v>
      </c>
      <c r="C10" t="s">
        <v>160</v>
      </c>
      <c r="D10">
        <v>1</v>
      </c>
    </row>
    <row r="11" spans="1:4" x14ac:dyDescent="0.25">
      <c r="A11" t="s">
        <v>0</v>
      </c>
      <c r="B11" t="s">
        <v>168</v>
      </c>
      <c r="C11" t="s">
        <v>160</v>
      </c>
      <c r="D11">
        <v>1</v>
      </c>
    </row>
    <row r="12" spans="1:4" x14ac:dyDescent="0.25">
      <c r="A12" t="s">
        <v>0</v>
      </c>
      <c r="B12" t="s">
        <v>168</v>
      </c>
      <c r="C12" t="s">
        <v>165</v>
      </c>
      <c r="D12">
        <v>9</v>
      </c>
    </row>
    <row r="13" spans="1:4" x14ac:dyDescent="0.25">
      <c r="A13" t="s">
        <v>0</v>
      </c>
      <c r="B13" t="s">
        <v>169</v>
      </c>
      <c r="C13" t="s">
        <v>160</v>
      </c>
      <c r="D13">
        <v>1</v>
      </c>
    </row>
    <row r="14" spans="1:4" x14ac:dyDescent="0.25">
      <c r="A14" t="s">
        <v>0</v>
      </c>
      <c r="B14" t="s">
        <v>170</v>
      </c>
      <c r="C14" t="s">
        <v>160</v>
      </c>
      <c r="D14">
        <v>1</v>
      </c>
    </row>
    <row r="15" spans="1:4" x14ac:dyDescent="0.25">
      <c r="A15" t="s">
        <v>0</v>
      </c>
      <c r="B15" t="s">
        <v>171</v>
      </c>
      <c r="C15" t="s">
        <v>160</v>
      </c>
      <c r="D15">
        <v>1</v>
      </c>
    </row>
    <row r="16" spans="1:4" x14ac:dyDescent="0.25">
      <c r="A16" t="s">
        <v>0</v>
      </c>
      <c r="B16" t="s">
        <v>171</v>
      </c>
      <c r="C16" t="s">
        <v>165</v>
      </c>
      <c r="D16">
        <v>2</v>
      </c>
    </row>
    <row r="17" spans="1:4" x14ac:dyDescent="0.25">
      <c r="A17" t="s">
        <v>0</v>
      </c>
      <c r="B17" t="s">
        <v>165</v>
      </c>
      <c r="C17" t="s">
        <v>172</v>
      </c>
      <c r="D17">
        <v>1</v>
      </c>
    </row>
    <row r="18" spans="1:4" x14ac:dyDescent="0.25">
      <c r="A18" t="s">
        <v>0</v>
      </c>
      <c r="B18" t="s">
        <v>165</v>
      </c>
      <c r="C18" t="s">
        <v>173</v>
      </c>
      <c r="D18">
        <v>2</v>
      </c>
    </row>
    <row r="19" spans="1:4" x14ac:dyDescent="0.25">
      <c r="A19" t="s">
        <v>0</v>
      </c>
      <c r="B19" t="s">
        <v>165</v>
      </c>
      <c r="C19" t="s">
        <v>174</v>
      </c>
      <c r="D19">
        <v>3</v>
      </c>
    </row>
    <row r="20" spans="1:4" x14ac:dyDescent="0.25">
      <c r="A20" t="s">
        <v>0</v>
      </c>
      <c r="B20" t="s">
        <v>165</v>
      </c>
      <c r="C20" t="s">
        <v>175</v>
      </c>
      <c r="D20">
        <v>4</v>
      </c>
    </row>
    <row r="21" spans="1:4" x14ac:dyDescent="0.25">
      <c r="A21" t="s">
        <v>0</v>
      </c>
      <c r="B21" t="s">
        <v>165</v>
      </c>
      <c r="C21" t="s">
        <v>176</v>
      </c>
      <c r="D21">
        <v>5</v>
      </c>
    </row>
    <row r="22" spans="1:4" x14ac:dyDescent="0.25">
      <c r="A22" t="s">
        <v>0</v>
      </c>
      <c r="B22" t="s">
        <v>165</v>
      </c>
      <c r="C22" t="s">
        <v>177</v>
      </c>
      <c r="D22">
        <v>6</v>
      </c>
    </row>
    <row r="23" spans="1:4" x14ac:dyDescent="0.25">
      <c r="A23" t="s">
        <v>0</v>
      </c>
      <c r="B23" t="s">
        <v>165</v>
      </c>
      <c r="C23" t="s">
        <v>178</v>
      </c>
      <c r="D23">
        <v>7</v>
      </c>
    </row>
    <row r="24" spans="1:4" x14ac:dyDescent="0.25">
      <c r="A24" t="s">
        <v>0</v>
      </c>
      <c r="B24" t="s">
        <v>160</v>
      </c>
      <c r="C24" t="s">
        <v>172</v>
      </c>
      <c r="D24">
        <v>1</v>
      </c>
    </row>
    <row r="25" spans="1:4" x14ac:dyDescent="0.25">
      <c r="A25" t="s">
        <v>0</v>
      </c>
      <c r="B25" t="s">
        <v>160</v>
      </c>
      <c r="C25" t="s">
        <v>179</v>
      </c>
      <c r="D25">
        <v>2</v>
      </c>
    </row>
    <row r="26" spans="1:4" x14ac:dyDescent="0.25">
      <c r="A26" t="s">
        <v>0</v>
      </c>
      <c r="B26" t="s">
        <v>160</v>
      </c>
      <c r="C26" t="s">
        <v>173</v>
      </c>
      <c r="D26">
        <v>3</v>
      </c>
    </row>
    <row r="27" spans="1:4" x14ac:dyDescent="0.25">
      <c r="A27" t="s">
        <v>0</v>
      </c>
      <c r="B27" t="s">
        <v>160</v>
      </c>
      <c r="C27" t="s">
        <v>174</v>
      </c>
      <c r="D27">
        <v>4</v>
      </c>
    </row>
    <row r="28" spans="1:4" x14ac:dyDescent="0.25">
      <c r="A28" t="s">
        <v>0</v>
      </c>
      <c r="B28" t="s">
        <v>160</v>
      </c>
      <c r="C28" t="s">
        <v>177</v>
      </c>
      <c r="D28">
        <v>5</v>
      </c>
    </row>
    <row r="29" spans="1:4" x14ac:dyDescent="0.25">
      <c r="A29" t="s">
        <v>0</v>
      </c>
      <c r="B29" t="s">
        <v>160</v>
      </c>
      <c r="C29" t="s">
        <v>176</v>
      </c>
      <c r="D29">
        <v>6</v>
      </c>
    </row>
    <row r="30" spans="1:4" x14ac:dyDescent="0.25">
      <c r="A30" t="s">
        <v>0</v>
      </c>
      <c r="B30" t="s">
        <v>160</v>
      </c>
      <c r="C30" t="s">
        <v>175</v>
      </c>
      <c r="D30">
        <v>7</v>
      </c>
    </row>
    <row r="31" spans="1:4" x14ac:dyDescent="0.25">
      <c r="A31" t="s">
        <v>0</v>
      </c>
      <c r="B31" t="s">
        <v>160</v>
      </c>
      <c r="C31" t="s">
        <v>178</v>
      </c>
      <c r="D31">
        <v>8</v>
      </c>
    </row>
    <row r="32" spans="1:4" x14ac:dyDescent="0.25">
      <c r="A32" t="s">
        <v>0</v>
      </c>
      <c r="B32" t="s">
        <v>160</v>
      </c>
      <c r="C32" t="s">
        <v>180</v>
      </c>
      <c r="D32">
        <v>9</v>
      </c>
    </row>
    <row r="33" spans="1:4" x14ac:dyDescent="0.25">
      <c r="A33" t="s">
        <v>0</v>
      </c>
      <c r="B33" t="s">
        <v>160</v>
      </c>
      <c r="C33" t="s">
        <v>181</v>
      </c>
      <c r="D33">
        <v>10</v>
      </c>
    </row>
    <row r="34" spans="1:4" x14ac:dyDescent="0.25">
      <c r="A34" t="s">
        <v>0</v>
      </c>
      <c r="B34" t="s">
        <v>160</v>
      </c>
      <c r="C34" t="s">
        <v>182</v>
      </c>
      <c r="D34">
        <v>11</v>
      </c>
    </row>
    <row r="35" spans="1:4" x14ac:dyDescent="0.25">
      <c r="A35" t="s">
        <v>0</v>
      </c>
      <c r="B35" t="s">
        <v>160</v>
      </c>
      <c r="C35" t="s">
        <v>183</v>
      </c>
      <c r="D35">
        <v>12</v>
      </c>
    </row>
    <row r="36" spans="1:4" x14ac:dyDescent="0.25">
      <c r="A36" t="s">
        <v>0</v>
      </c>
      <c r="B36" t="s">
        <v>160</v>
      </c>
      <c r="C36" t="s">
        <v>184</v>
      </c>
      <c r="D36">
        <v>13</v>
      </c>
    </row>
    <row r="37" spans="1:4" x14ac:dyDescent="0.25">
      <c r="A37" t="s">
        <v>0</v>
      </c>
      <c r="B37" t="s">
        <v>160</v>
      </c>
      <c r="C37" t="s">
        <v>185</v>
      </c>
      <c r="D37">
        <v>14</v>
      </c>
    </row>
    <row r="38" spans="1:4" x14ac:dyDescent="0.25">
      <c r="A38" t="s">
        <v>0</v>
      </c>
      <c r="B38" t="s">
        <v>160</v>
      </c>
      <c r="C38" t="s">
        <v>186</v>
      </c>
      <c r="D38">
        <v>15</v>
      </c>
    </row>
    <row r="39" spans="1:4" x14ac:dyDescent="0.25">
      <c r="A39" t="s">
        <v>0</v>
      </c>
      <c r="B39" t="s">
        <v>160</v>
      </c>
      <c r="C39" t="s">
        <v>187</v>
      </c>
      <c r="D39">
        <v>16</v>
      </c>
    </row>
    <row r="40" spans="1:4" x14ac:dyDescent="0.25">
      <c r="A40" t="s">
        <v>0</v>
      </c>
      <c r="B40" t="s">
        <v>160</v>
      </c>
      <c r="C40" t="s">
        <v>188</v>
      </c>
      <c r="D40">
        <v>18</v>
      </c>
    </row>
    <row r="41" spans="1:4" x14ac:dyDescent="0.25">
      <c r="A41" t="s">
        <v>0</v>
      </c>
      <c r="B41" t="s">
        <v>160</v>
      </c>
      <c r="C41" t="s">
        <v>189</v>
      </c>
      <c r="D41">
        <v>19</v>
      </c>
    </row>
    <row r="42" spans="1:4" x14ac:dyDescent="0.25">
      <c r="A42" t="s">
        <v>0</v>
      </c>
      <c r="B42" t="s">
        <v>163</v>
      </c>
      <c r="C42" t="s">
        <v>172</v>
      </c>
      <c r="D42">
        <v>1</v>
      </c>
    </row>
    <row r="43" spans="1:4" x14ac:dyDescent="0.25">
      <c r="A43" t="s">
        <v>0</v>
      </c>
      <c r="B43" t="s">
        <v>163</v>
      </c>
      <c r="C43" t="s">
        <v>173</v>
      </c>
      <c r="D43">
        <v>2</v>
      </c>
    </row>
    <row r="44" spans="1:4" x14ac:dyDescent="0.25">
      <c r="A44" t="s">
        <v>0</v>
      </c>
      <c r="B44" t="s">
        <v>163</v>
      </c>
      <c r="C44" t="s">
        <v>175</v>
      </c>
      <c r="D44">
        <v>3</v>
      </c>
    </row>
    <row r="45" spans="1:4" x14ac:dyDescent="0.25">
      <c r="A45" t="s">
        <v>0</v>
      </c>
      <c r="B45" t="s">
        <v>163</v>
      </c>
      <c r="C45" t="s">
        <v>174</v>
      </c>
      <c r="D45">
        <v>4</v>
      </c>
    </row>
    <row r="46" spans="1:4" x14ac:dyDescent="0.25">
      <c r="A46" t="s">
        <v>0</v>
      </c>
      <c r="B46" t="s">
        <v>163</v>
      </c>
      <c r="C46" t="s">
        <v>176</v>
      </c>
      <c r="D46">
        <v>5</v>
      </c>
    </row>
    <row r="47" spans="1:4" x14ac:dyDescent="0.25">
      <c r="A47" t="s">
        <v>0</v>
      </c>
      <c r="B47" t="s">
        <v>163</v>
      </c>
      <c r="C47" t="s">
        <v>177</v>
      </c>
      <c r="D47">
        <v>6</v>
      </c>
    </row>
    <row r="48" spans="1:4" x14ac:dyDescent="0.25">
      <c r="A48" t="s">
        <v>0</v>
      </c>
      <c r="B48" t="s">
        <v>163</v>
      </c>
      <c r="C48" t="s">
        <v>190</v>
      </c>
      <c r="D48">
        <v>7</v>
      </c>
    </row>
    <row r="49" spans="1:4" x14ac:dyDescent="0.25">
      <c r="A49" t="s">
        <v>0</v>
      </c>
      <c r="B49" t="s">
        <v>163</v>
      </c>
      <c r="C49" t="s">
        <v>191</v>
      </c>
      <c r="D49">
        <v>8</v>
      </c>
    </row>
    <row r="50" spans="1:4" x14ac:dyDescent="0.25">
      <c r="A50" t="s">
        <v>0</v>
      </c>
      <c r="B50" t="s">
        <v>163</v>
      </c>
      <c r="C50" t="s">
        <v>192</v>
      </c>
      <c r="D50">
        <v>9</v>
      </c>
    </row>
    <row r="51" spans="1:4" x14ac:dyDescent="0.25">
      <c r="A51" t="s">
        <v>0</v>
      </c>
      <c r="B51" t="s">
        <v>184</v>
      </c>
      <c r="C51" t="s">
        <v>191</v>
      </c>
      <c r="D51">
        <v>1</v>
      </c>
    </row>
    <row r="52" spans="1:4" x14ac:dyDescent="0.25">
      <c r="A52" t="s">
        <v>0</v>
      </c>
      <c r="B52" t="s">
        <v>193</v>
      </c>
      <c r="C52" t="s">
        <v>160</v>
      </c>
      <c r="D52">
        <v>4</v>
      </c>
    </row>
    <row r="53" spans="1:4" x14ac:dyDescent="0.25">
      <c r="A53" t="s">
        <v>0</v>
      </c>
      <c r="B53" t="s">
        <v>194</v>
      </c>
      <c r="C53" t="s">
        <v>160</v>
      </c>
      <c r="D53">
        <v>4</v>
      </c>
    </row>
    <row r="54" spans="1:4" x14ac:dyDescent="0.25">
      <c r="A54" t="s">
        <v>0</v>
      </c>
      <c r="B54" t="s">
        <v>195</v>
      </c>
      <c r="C54" t="s">
        <v>160</v>
      </c>
      <c r="D54">
        <v>4</v>
      </c>
    </row>
    <row r="55" spans="1:4" x14ac:dyDescent="0.25">
      <c r="A55" t="s">
        <v>0</v>
      </c>
      <c r="B55" t="s">
        <v>196</v>
      </c>
      <c r="C55" t="s">
        <v>192</v>
      </c>
      <c r="D55">
        <v>2</v>
      </c>
    </row>
    <row r="56" spans="1:4" x14ac:dyDescent="0.25">
      <c r="A56" t="s">
        <v>0</v>
      </c>
      <c r="B56" t="s">
        <v>196</v>
      </c>
      <c r="C56" t="s">
        <v>191</v>
      </c>
      <c r="D56">
        <v>5</v>
      </c>
    </row>
    <row r="57" spans="1:4" x14ac:dyDescent="0.25">
      <c r="A57" t="s">
        <v>0</v>
      </c>
      <c r="B57" t="s">
        <v>196</v>
      </c>
      <c r="C57" t="s">
        <v>184</v>
      </c>
      <c r="D57">
        <v>7</v>
      </c>
    </row>
    <row r="58" spans="1:4" x14ac:dyDescent="0.25">
      <c r="A58" t="s">
        <v>0</v>
      </c>
      <c r="B58" t="s">
        <v>197</v>
      </c>
      <c r="C58" t="s">
        <v>160</v>
      </c>
      <c r="D58">
        <v>1</v>
      </c>
    </row>
    <row r="59" spans="1:4" x14ac:dyDescent="0.25">
      <c r="A59" t="s">
        <v>0</v>
      </c>
      <c r="B59" t="s">
        <v>198</v>
      </c>
      <c r="C59" t="s">
        <v>160</v>
      </c>
      <c r="D59">
        <v>4</v>
      </c>
    </row>
    <row r="60" spans="1:4" x14ac:dyDescent="0.25">
      <c r="A60" t="s">
        <v>0</v>
      </c>
      <c r="B60" t="s">
        <v>199</v>
      </c>
      <c r="C60" t="s">
        <v>160</v>
      </c>
      <c r="D60">
        <v>1</v>
      </c>
    </row>
    <row r="61" spans="1:4" x14ac:dyDescent="0.25">
      <c r="A61" t="s">
        <v>0</v>
      </c>
      <c r="B61" t="s">
        <v>200</v>
      </c>
      <c r="C61" t="s">
        <v>160</v>
      </c>
      <c r="D61">
        <v>1</v>
      </c>
    </row>
    <row r="62" spans="1:4" x14ac:dyDescent="0.25">
      <c r="A62" t="s">
        <v>0</v>
      </c>
      <c r="B62" t="s">
        <v>201</v>
      </c>
      <c r="C62" t="s">
        <v>160</v>
      </c>
      <c r="D62">
        <v>1</v>
      </c>
    </row>
    <row r="63" spans="1:4" x14ac:dyDescent="0.25">
      <c r="A63" t="s">
        <v>0</v>
      </c>
      <c r="B63" t="s">
        <v>202</v>
      </c>
      <c r="C63" t="s">
        <v>160</v>
      </c>
      <c r="D63">
        <v>2</v>
      </c>
    </row>
    <row r="64" spans="1:4" x14ac:dyDescent="0.25">
      <c r="A64" t="s">
        <v>0</v>
      </c>
      <c r="B64" t="s">
        <v>203</v>
      </c>
      <c r="C64" t="s">
        <v>160</v>
      </c>
      <c r="D64">
        <v>1</v>
      </c>
    </row>
    <row r="65" spans="1:4" x14ac:dyDescent="0.25">
      <c r="A65" t="s">
        <v>0</v>
      </c>
      <c r="B65" t="s">
        <v>192</v>
      </c>
      <c r="C65" t="s">
        <v>191</v>
      </c>
      <c r="D65">
        <v>1</v>
      </c>
    </row>
    <row r="66" spans="1:4" x14ac:dyDescent="0.25">
      <c r="A66" t="s">
        <v>0</v>
      </c>
      <c r="B66" t="s">
        <v>192</v>
      </c>
      <c r="C66" t="s">
        <v>179</v>
      </c>
      <c r="D66">
        <v>2</v>
      </c>
    </row>
    <row r="67" spans="1:4" x14ac:dyDescent="0.25">
      <c r="A67" t="s">
        <v>0</v>
      </c>
      <c r="B67" t="s">
        <v>192</v>
      </c>
      <c r="C67" t="s">
        <v>190</v>
      </c>
      <c r="D67">
        <v>3</v>
      </c>
    </row>
    <row r="68" spans="1:4" x14ac:dyDescent="0.25">
      <c r="A68" t="s">
        <v>0</v>
      </c>
      <c r="B68" t="s">
        <v>192</v>
      </c>
      <c r="C68" t="s">
        <v>204</v>
      </c>
      <c r="D68">
        <v>4</v>
      </c>
    </row>
    <row r="69" spans="1:4" x14ac:dyDescent="0.25">
      <c r="A69" t="s">
        <v>0</v>
      </c>
      <c r="B69" t="s">
        <v>192</v>
      </c>
      <c r="C69" t="s">
        <v>205</v>
      </c>
      <c r="D69">
        <v>5</v>
      </c>
    </row>
    <row r="70" spans="1:4" x14ac:dyDescent="0.25">
      <c r="A70" t="s">
        <v>0</v>
      </c>
      <c r="B70" t="s">
        <v>192</v>
      </c>
      <c r="C70" t="s">
        <v>206</v>
      </c>
      <c r="D70">
        <v>6</v>
      </c>
    </row>
    <row r="71" spans="1:4" x14ac:dyDescent="0.25">
      <c r="A71" t="s">
        <v>0</v>
      </c>
      <c r="B71" t="s">
        <v>192</v>
      </c>
      <c r="C71" t="s">
        <v>207</v>
      </c>
      <c r="D71">
        <v>7</v>
      </c>
    </row>
    <row r="72" spans="1:4" x14ac:dyDescent="0.25">
      <c r="A72" t="s">
        <v>0</v>
      </c>
      <c r="B72" t="s">
        <v>192</v>
      </c>
      <c r="C72" t="s">
        <v>184</v>
      </c>
      <c r="D72">
        <v>8</v>
      </c>
    </row>
    <row r="73" spans="1:4" x14ac:dyDescent="0.25">
      <c r="A73" t="s">
        <v>0</v>
      </c>
      <c r="B73" t="s">
        <v>192</v>
      </c>
      <c r="C73" t="s">
        <v>196</v>
      </c>
      <c r="D73">
        <v>11</v>
      </c>
    </row>
    <row r="74" spans="1:4" x14ac:dyDescent="0.25">
      <c r="A74" t="s">
        <v>0</v>
      </c>
      <c r="B74" t="s">
        <v>208</v>
      </c>
      <c r="C74" t="s">
        <v>192</v>
      </c>
      <c r="D74">
        <v>1</v>
      </c>
    </row>
    <row r="75" spans="1:4" x14ac:dyDescent="0.25">
      <c r="A75" t="s">
        <v>0</v>
      </c>
      <c r="B75" t="s">
        <v>208</v>
      </c>
      <c r="C75" t="s">
        <v>209</v>
      </c>
      <c r="D75">
        <v>3</v>
      </c>
    </row>
    <row r="76" spans="1:4" x14ac:dyDescent="0.25">
      <c r="A76" t="s">
        <v>0</v>
      </c>
      <c r="B76" t="s">
        <v>208</v>
      </c>
      <c r="C76" t="s">
        <v>210</v>
      </c>
      <c r="D76">
        <v>4</v>
      </c>
    </row>
    <row r="77" spans="1:4" x14ac:dyDescent="0.25">
      <c r="A77" t="s">
        <v>0</v>
      </c>
      <c r="B77" t="s">
        <v>208</v>
      </c>
      <c r="C77" t="s">
        <v>206</v>
      </c>
      <c r="D77">
        <v>5</v>
      </c>
    </row>
    <row r="78" spans="1:4" x14ac:dyDescent="0.25">
      <c r="A78" t="s">
        <v>0</v>
      </c>
      <c r="B78" t="s">
        <v>208</v>
      </c>
      <c r="C78" t="s">
        <v>163</v>
      </c>
      <c r="D78">
        <v>6</v>
      </c>
    </row>
    <row r="79" spans="1:4" x14ac:dyDescent="0.25">
      <c r="A79" t="s">
        <v>0</v>
      </c>
      <c r="B79" t="s">
        <v>208</v>
      </c>
      <c r="C79" t="s">
        <v>175</v>
      </c>
      <c r="D79">
        <v>9</v>
      </c>
    </row>
    <row r="80" spans="1:4" x14ac:dyDescent="0.25">
      <c r="A80" t="s">
        <v>0</v>
      </c>
      <c r="B80" t="s">
        <v>208</v>
      </c>
      <c r="C80" t="s">
        <v>211</v>
      </c>
      <c r="D80">
        <v>15</v>
      </c>
    </row>
    <row r="81" spans="1:4" x14ac:dyDescent="0.25">
      <c r="A81" t="s">
        <v>25</v>
      </c>
      <c r="B81" t="s">
        <v>212</v>
      </c>
      <c r="C81" t="s">
        <v>160</v>
      </c>
      <c r="D81">
        <v>1</v>
      </c>
    </row>
  </sheetData>
  <conditionalFormatting sqref="A2:D81">
    <cfRule type="expression" dxfId="1" priority="2">
      <formula>ISBLANK(A2)</formula>
    </cfRule>
  </conditionalFormatting>
  <conditionalFormatting sqref="A2:A81">
    <cfRule type="expression" dxfId="0" priority="5676">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30</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63</v>
      </c>
    </row>
    <row r="2" spans="1:4" x14ac:dyDescent="0.25">
      <c r="A2" s="6" t="s">
        <v>60</v>
      </c>
      <c r="B2" s="6" t="s">
        <v>12</v>
      </c>
      <c r="C2" s="6" t="s">
        <v>11</v>
      </c>
      <c r="D2" s="6" t="s">
        <v>50</v>
      </c>
    </row>
    <row r="3" spans="1:4" x14ac:dyDescent="0.25">
      <c r="B3" s="6"/>
      <c r="C3" s="6"/>
      <c r="D3" s="19"/>
    </row>
    <row r="4" spans="1:4" x14ac:dyDescent="0.25">
      <c r="A4" s="28" t="s">
        <v>78</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35</v>
      </c>
    </row>
    <row r="2" spans="1:14" x14ac:dyDescent="0.25">
      <c r="A2" t="s">
        <v>56</v>
      </c>
      <c r="B2" t="s">
        <v>57</v>
      </c>
      <c r="C2" t="s">
        <v>58</v>
      </c>
      <c r="D2" t="s">
        <v>26</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34</v>
      </c>
      <c r="P1" t="s">
        <v>215</v>
      </c>
      <c r="R1" t="s">
        <v>0</v>
      </c>
      <c r="T1" t="s">
        <v>20</v>
      </c>
      <c r="U1" t="b">
        <v>1</v>
      </c>
    </row>
    <row r="2" spans="1:21" x14ac:dyDescent="0.25">
      <c r="P2" t="s">
        <v>213</v>
      </c>
      <c r="T2" t="s">
        <v>258</v>
      </c>
      <c r="U2" t="b">
        <v>1</v>
      </c>
    </row>
    <row r="3" spans="1:21" x14ac:dyDescent="0.25">
      <c r="P3" t="s">
        <v>286</v>
      </c>
      <c r="T3" t="s">
        <v>259</v>
      </c>
      <c r="U3" t="b">
        <v>1</v>
      </c>
    </row>
    <row r="4" spans="1:21" x14ac:dyDescent="0.25">
      <c r="T4" t="s">
        <v>260</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33</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110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41</v>
      </c>
      <c r="B1" s="17">
        <v>43254.867164351854</v>
      </c>
      <c r="E1" t="s">
        <v>256</v>
      </c>
      <c r="F1" t="s">
        <v>257</v>
      </c>
    </row>
    <row r="2" spans="1:6" x14ac:dyDescent="0.25">
      <c r="A2" t="s">
        <v>42</v>
      </c>
      <c r="B2" s="17">
        <v>43254.869479166664</v>
      </c>
      <c r="E2" t="s">
        <v>5</v>
      </c>
      <c r="F2" s="24">
        <v>43254</v>
      </c>
    </row>
    <row r="3" spans="1:6" x14ac:dyDescent="0.25">
      <c r="E3" t="s">
        <v>283</v>
      </c>
      <c r="F3" s="24">
        <v>43254</v>
      </c>
    </row>
    <row r="4" spans="1:6" x14ac:dyDescent="0.25">
      <c r="A4" t="s">
        <v>43</v>
      </c>
      <c r="B4" s="18">
        <f>IF((FINREFRESCADO-INICIOREFRESCADO)&gt;0,FINREFRESCADO-INICIOREFRESCADO,"")</f>
        <v>2.3148148102336563E-3</v>
      </c>
      <c r="E4" t="s">
        <v>284</v>
      </c>
      <c r="F4" s="24">
        <v>43254</v>
      </c>
    </row>
    <row r="5" spans="1:6" x14ac:dyDescent="0.25">
      <c r="E5" t="s">
        <v>285</v>
      </c>
      <c r="F5" s="24">
        <v>43253</v>
      </c>
    </row>
    <row r="6" spans="1:6" x14ac:dyDescent="0.25">
      <c r="A6" t="s">
        <v>91</v>
      </c>
      <c r="B6" t="s">
        <v>291</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45</v>
      </c>
      <c r="B1" t="s">
        <v>46</v>
      </c>
      <c r="C1" t="s">
        <v>47</v>
      </c>
    </row>
    <row r="2" spans="1:3" x14ac:dyDescent="0.25">
      <c r="A2" t="s">
        <v>51</v>
      </c>
      <c r="B2" t="s">
        <v>55</v>
      </c>
      <c r="C2" t="str">
        <f>IF(RIGHT(Tabla_Parametros[par_valor],1)="\",LEFT(Tabla_Parametros[par_valor],LEN(Tabla_Parametros[par_valor])-1),Tabla_Parametros[par_valor])</f>
        <v>O:</v>
      </c>
    </row>
    <row r="3" spans="1:3" x14ac:dyDescent="0.25">
      <c r="A3" t="s">
        <v>52</v>
      </c>
      <c r="B3" t="s">
        <v>55</v>
      </c>
      <c r="C3" t="str">
        <f>IF(RIGHT(Tabla_Parametros[par_valor],1)="\",LEFT(Tabla_Parametros[par_valor],LEN(Tabla_Parametros[par_valor])-1),Tabla_Parametros[par_valor])</f>
        <v>O:</v>
      </c>
    </row>
    <row r="4" spans="1:3" x14ac:dyDescent="0.25">
      <c r="A4" t="s">
        <v>53</v>
      </c>
      <c r="B4" t="s">
        <v>55</v>
      </c>
      <c r="C4" t="str">
        <f>IF(RIGHT(Tabla_Parametros[par_valor],1)="\",LEFT(Tabla_Parametros[par_valor],LEN(Tabla_Parametros[par_valor])-1),Tabla_Parametros[par_valor])</f>
        <v>O:</v>
      </c>
    </row>
    <row r="5" spans="1:3" x14ac:dyDescent="0.25">
      <c r="A5" t="s">
        <v>75</v>
      </c>
      <c r="B5" t="s">
        <v>76</v>
      </c>
      <c r="C5" t="str">
        <f>IF(RIGHT(Tabla_Parametros[par_valor],1)="\",LEFT(Tabla_Parametros[par_valor],LEN(Tabla_Parametros[par_valor])-1),Tabla_Parametros[par_valor])</f>
        <v>0</v>
      </c>
    </row>
    <row r="6" spans="1:3" x14ac:dyDescent="0.25">
      <c r="A6" t="s">
        <v>77</v>
      </c>
      <c r="B6" t="s">
        <v>156</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7"/>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213</v>
      </c>
    </row>
    <row r="2" spans="1:1" x14ac:dyDescent="0.25">
      <c r="A2" t="s">
        <v>289</v>
      </c>
    </row>
    <row r="3" spans="1:1" x14ac:dyDescent="0.25">
      <c r="A3" t="s">
        <v>293</v>
      </c>
    </row>
    <row r="4" spans="1:1" x14ac:dyDescent="0.25">
      <c r="A4" t="s">
        <v>290</v>
      </c>
    </row>
    <row r="5" spans="1:1" x14ac:dyDescent="0.25">
      <c r="A5" t="s">
        <v>294</v>
      </c>
    </row>
    <row r="6" spans="1:1" x14ac:dyDescent="0.25">
      <c r="A6" t="s">
        <v>295</v>
      </c>
    </row>
    <row r="7" spans="1:1" x14ac:dyDescent="0.25">
      <c r="A7" t="s">
        <v>296</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158</v>
      </c>
    </row>
    <row r="3" spans="1:1" x14ac:dyDescent="0.25">
      <c r="A3" t="s">
        <v>54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0</v>
      </c>
      <c r="B2" t="s">
        <v>213</v>
      </c>
      <c r="C2" t="s">
        <v>214</v>
      </c>
    </row>
    <row r="3" spans="1:3" x14ac:dyDescent="0.25">
      <c r="A3" t="s">
        <v>0</v>
      </c>
      <c r="B3" t="s">
        <v>286</v>
      </c>
      <c r="C3" t="s">
        <v>288</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7FB7FD-882C-474D-8C6F-118145CFDB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2018-06-04T05:02:49Z</dcterms:modified>
</cp:coreProperties>
</file>